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tos\Projetos 2023\Reforma Escolas\Reforma EM Adriano Queiroz Pimentel\00 - Arquivos para Licitação\Lote 1\"/>
    </mc:Choice>
  </mc:AlternateContent>
  <bookViews>
    <workbookView xWindow="-120" yWindow="-120" windowWidth="29040" windowHeight="15840"/>
  </bookViews>
  <sheets>
    <sheet name="Planilha_Orçamentária" sheetId="1" r:id="rId1"/>
    <sheet name="Cronograma_F_F" sheetId="2" r:id="rId2"/>
  </sheets>
  <externalReferences>
    <externalReference r:id="rId3"/>
  </externalReferences>
  <definedNames>
    <definedName name="_xlnm.Print_Area" localSheetId="1">Cronograma_F_F!$A$1:$AH$49</definedName>
    <definedName name="_xlnm.Print_Area" localSheetId="0">Planilha_Orçamentária!$A$1:$J$1444</definedName>
  </definedNames>
  <calcPr calcId="162913"/>
</workbook>
</file>

<file path=xl/calcChain.xml><?xml version="1.0" encoding="utf-8"?>
<calcChain xmlns="http://schemas.openxmlformats.org/spreadsheetml/2006/main">
  <c r="D1149" i="1" l="1"/>
  <c r="C1149" i="1"/>
  <c r="D1100" i="1"/>
  <c r="C1100" i="1"/>
  <c r="F1096" i="1"/>
  <c r="D1096" i="1"/>
  <c r="C1096" i="1"/>
  <c r="D1082" i="1"/>
  <c r="C1082" i="1"/>
  <c r="F1073" i="1"/>
  <c r="D1073" i="1"/>
  <c r="C1073" i="1"/>
  <c r="D1028" i="1"/>
  <c r="C1028" i="1"/>
  <c r="F1024" i="1"/>
  <c r="D1024" i="1"/>
  <c r="C1024" i="1"/>
  <c r="D998" i="1"/>
  <c r="C998" i="1"/>
  <c r="D995" i="1"/>
  <c r="C995" i="1"/>
  <c r="D976" i="1"/>
  <c r="C976" i="1"/>
  <c r="F957" i="1"/>
  <c r="D957" i="1"/>
  <c r="C957" i="1"/>
  <c r="F955" i="1"/>
  <c r="D955" i="1"/>
  <c r="C955" i="1"/>
  <c r="F951" i="1"/>
  <c r="D951" i="1"/>
  <c r="C951" i="1"/>
  <c r="F949" i="1"/>
  <c r="D949" i="1"/>
  <c r="C949" i="1"/>
  <c r="D920" i="1"/>
  <c r="C920" i="1"/>
  <c r="D908" i="1"/>
  <c r="C908" i="1"/>
  <c r="F889" i="1"/>
  <c r="D889" i="1"/>
  <c r="C889" i="1"/>
  <c r="D885" i="1"/>
  <c r="C885" i="1"/>
  <c r="D844" i="1"/>
  <c r="C844" i="1"/>
  <c r="D841" i="1"/>
  <c r="C841" i="1"/>
  <c r="D812" i="1"/>
  <c r="C812" i="1"/>
  <c r="D772" i="1"/>
  <c r="C772" i="1"/>
  <c r="D740" i="1"/>
  <c r="C740" i="1"/>
  <c r="D715" i="1"/>
  <c r="C715" i="1"/>
  <c r="D681" i="1"/>
  <c r="C681" i="1"/>
  <c r="D635" i="1"/>
  <c r="C635" i="1"/>
  <c r="D646" i="1"/>
  <c r="C646" i="1"/>
  <c r="D616" i="1"/>
  <c r="C616" i="1"/>
  <c r="D605" i="1"/>
  <c r="C605" i="1"/>
  <c r="F575" i="1"/>
  <c r="D575" i="1"/>
  <c r="C575" i="1"/>
  <c r="F546" i="1"/>
  <c r="D546" i="1"/>
  <c r="C546" i="1"/>
  <c r="D538" i="1"/>
  <c r="C538" i="1"/>
  <c r="F527" i="1"/>
  <c r="D527" i="1"/>
  <c r="C527" i="1"/>
  <c r="F521" i="1"/>
  <c r="D521" i="1"/>
  <c r="C521" i="1"/>
  <c r="F486" i="1"/>
  <c r="D486" i="1"/>
  <c r="C486" i="1"/>
  <c r="F483" i="1"/>
  <c r="D483" i="1"/>
  <c r="C483" i="1"/>
  <c r="D464" i="1"/>
  <c r="C464" i="1"/>
  <c r="F444" i="1"/>
  <c r="D444" i="1"/>
  <c r="C444" i="1"/>
  <c r="D442" i="1"/>
  <c r="C442" i="1"/>
  <c r="F439" i="1"/>
  <c r="D439" i="1"/>
  <c r="C439" i="1"/>
  <c r="F437" i="1"/>
  <c r="D437" i="1"/>
  <c r="C437" i="1"/>
  <c r="D430" i="1"/>
  <c r="C430" i="1"/>
  <c r="D419" i="1"/>
  <c r="C419" i="1"/>
  <c r="D388" i="1"/>
  <c r="C388" i="1"/>
  <c r="D399" i="1"/>
  <c r="C399" i="1"/>
  <c r="D369" i="1"/>
  <c r="C369" i="1"/>
  <c r="D358" i="1"/>
  <c r="C358" i="1"/>
  <c r="D328" i="1"/>
  <c r="C328" i="1"/>
  <c r="D339" i="1"/>
  <c r="C339" i="1"/>
  <c r="D309" i="1"/>
  <c r="C309" i="1"/>
  <c r="D298" i="1"/>
  <c r="C298" i="1"/>
  <c r="D268" i="1"/>
  <c r="C268" i="1"/>
  <c r="D279" i="1"/>
  <c r="C279" i="1"/>
  <c r="D249" i="1"/>
  <c r="C249" i="1"/>
  <c r="D238" i="1"/>
  <c r="C238" i="1"/>
  <c r="D208" i="1"/>
  <c r="C208" i="1"/>
  <c r="D219" i="1"/>
  <c r="C219" i="1"/>
  <c r="D189" i="1"/>
  <c r="C189" i="1"/>
  <c r="D183" i="1"/>
  <c r="C183" i="1"/>
  <c r="I167" i="1"/>
  <c r="H166" i="1"/>
  <c r="I166" i="1" s="1"/>
  <c r="H165" i="1"/>
  <c r="I165" i="1" s="1"/>
  <c r="D164" i="1"/>
  <c r="C164" i="1"/>
  <c r="D158" i="1"/>
  <c r="C158" i="1"/>
  <c r="D128" i="1"/>
  <c r="C128" i="1"/>
  <c r="F100" i="1"/>
  <c r="D100" i="1"/>
  <c r="C100" i="1"/>
  <c r="D83" i="1"/>
  <c r="C83" i="1"/>
  <c r="F77" i="1"/>
  <c r="D77" i="1"/>
  <c r="C77" i="1"/>
  <c r="D60" i="1"/>
  <c r="C60" i="1"/>
  <c r="F46" i="1"/>
  <c r="D46" i="1"/>
  <c r="C46" i="1"/>
  <c r="F559" i="1"/>
  <c r="F558" i="1"/>
  <c r="D558" i="1"/>
  <c r="C558" i="1"/>
  <c r="H1044" i="1"/>
  <c r="I1044" i="1" s="1"/>
  <c r="C1042" i="1"/>
  <c r="D1042" i="1"/>
  <c r="J1051" i="1"/>
  <c r="I1051" i="1"/>
  <c r="H1050" i="1"/>
  <c r="I1050" i="1" s="1"/>
  <c r="H781" i="1" l="1"/>
  <c r="H822" i="1"/>
  <c r="H918" i="1"/>
  <c r="H923" i="1"/>
  <c r="H927" i="1"/>
  <c r="H932" i="1"/>
  <c r="H931" i="1"/>
  <c r="H1084" i="1"/>
  <c r="H1133" i="1" l="1"/>
  <c r="H1134" i="1"/>
  <c r="F1135" i="1"/>
  <c r="H1135" i="1"/>
  <c r="F1136" i="1"/>
  <c r="H1136" i="1"/>
  <c r="H1137" i="1"/>
  <c r="I27" i="1" l="1"/>
  <c r="I29" i="1"/>
  <c r="I34" i="1"/>
  <c r="I35" i="1"/>
  <c r="I56" i="1"/>
  <c r="H575" i="1"/>
  <c r="F570" i="1"/>
  <c r="F569" i="1"/>
  <c r="F571" i="1" s="1"/>
  <c r="I570" i="1" l="1"/>
  <c r="I575" i="1"/>
  <c r="H584" i="1"/>
  <c r="I584" i="1" s="1"/>
  <c r="I581" i="1"/>
  <c r="F50" i="1"/>
  <c r="H50" i="1"/>
  <c r="H578" i="1"/>
  <c r="F578" i="1"/>
  <c r="H577" i="1"/>
  <c r="I577" i="1" s="1"/>
  <c r="H576" i="1"/>
  <c r="I576" i="1" s="1"/>
  <c r="H574" i="1"/>
  <c r="I574" i="1" s="1"/>
  <c r="H573" i="1"/>
  <c r="I573" i="1" s="1"/>
  <c r="F572" i="1"/>
  <c r="H572" i="1"/>
  <c r="H571" i="1"/>
  <c r="F554" i="1"/>
  <c r="H566" i="1"/>
  <c r="H565" i="1"/>
  <c r="I565" i="1" s="1"/>
  <c r="H564" i="1"/>
  <c r="I564" i="1" s="1"/>
  <c r="H563" i="1"/>
  <c r="F563" i="1"/>
  <c r="H562" i="1"/>
  <c r="I562" i="1" s="1"/>
  <c r="H557" i="1"/>
  <c r="H556" i="1"/>
  <c r="H554" i="1"/>
  <c r="I50" i="1" l="1"/>
  <c r="I578" i="1"/>
  <c r="I572" i="1"/>
  <c r="I569" i="1"/>
  <c r="I571" i="1"/>
  <c r="I563" i="1"/>
  <c r="I566" i="1"/>
  <c r="I556" i="1"/>
  <c r="I557" i="1"/>
  <c r="I554" i="1"/>
  <c r="H1333" i="1"/>
  <c r="I1333" i="1" s="1"/>
  <c r="H989" i="1"/>
  <c r="I989" i="1" s="1"/>
  <c r="H988" i="1"/>
  <c r="I988" i="1" s="1"/>
  <c r="F981" i="1"/>
  <c r="H981" i="1"/>
  <c r="H987" i="1"/>
  <c r="I987" i="1" s="1"/>
  <c r="H984" i="1"/>
  <c r="I984" i="1" s="1"/>
  <c r="H983" i="1"/>
  <c r="F982" i="1"/>
  <c r="F983" i="1" s="1"/>
  <c r="H982" i="1"/>
  <c r="H980" i="1"/>
  <c r="I980" i="1" s="1"/>
  <c r="F456" i="1"/>
  <c r="H455" i="1"/>
  <c r="I455" i="1" s="1"/>
  <c r="I982" i="1" l="1"/>
  <c r="I579" i="1"/>
  <c r="I983" i="1"/>
  <c r="I567" i="1"/>
  <c r="I981" i="1"/>
  <c r="I990" i="1"/>
  <c r="I1137" i="1"/>
  <c r="I985" i="1" l="1"/>
  <c r="H538" i="1" l="1"/>
  <c r="H1082" i="1"/>
  <c r="I1082" i="1" s="1"/>
  <c r="H976" i="1"/>
  <c r="I976" i="1" s="1"/>
  <c r="H464" i="1"/>
  <c r="I464" i="1" s="1"/>
  <c r="H1409" i="1"/>
  <c r="H1408" i="1"/>
  <c r="H1387" i="1"/>
  <c r="H1386" i="1"/>
  <c r="F1338" i="1"/>
  <c r="F1339" i="1" s="1"/>
  <c r="H1339" i="1"/>
  <c r="H1338" i="1"/>
  <c r="H1146" i="1"/>
  <c r="H1145" i="1"/>
  <c r="F1146" i="1"/>
  <c r="H1105" i="1"/>
  <c r="H1104" i="1"/>
  <c r="H1095" i="1"/>
  <c r="H1094" i="1"/>
  <c r="F1088" i="1"/>
  <c r="F1089" i="1" s="1"/>
  <c r="H1089" i="1"/>
  <c r="H1088" i="1"/>
  <c r="H1081" i="1"/>
  <c r="H1080" i="1"/>
  <c r="H1072" i="1"/>
  <c r="H1071" i="1"/>
  <c r="F1056" i="1"/>
  <c r="F1057" i="1" s="1"/>
  <c r="H1057" i="1"/>
  <c r="H1056" i="1"/>
  <c r="H1041" i="1"/>
  <c r="H1040" i="1"/>
  <c r="H1023" i="1"/>
  <c r="H1022" i="1"/>
  <c r="H975" i="1"/>
  <c r="H974" i="1"/>
  <c r="F975" i="1"/>
  <c r="H962" i="1"/>
  <c r="H961" i="1"/>
  <c r="H937" i="1"/>
  <c r="H936" i="1"/>
  <c r="H926" i="1"/>
  <c r="H925" i="1"/>
  <c r="F883" i="1"/>
  <c r="F884" i="1" s="1"/>
  <c r="H884" i="1"/>
  <c r="H883" i="1"/>
  <c r="F839" i="1"/>
  <c r="F840" i="1" s="1"/>
  <c r="H840" i="1"/>
  <c r="H839" i="1"/>
  <c r="F800" i="1"/>
  <c r="H801" i="1"/>
  <c r="H800" i="1"/>
  <c r="F760" i="1"/>
  <c r="F761" i="1" s="1"/>
  <c r="H761" i="1"/>
  <c r="H760" i="1"/>
  <c r="F732" i="1"/>
  <c r="F733" i="1" s="1"/>
  <c r="H733" i="1"/>
  <c r="H732" i="1"/>
  <c r="F702" i="1"/>
  <c r="F703" i="1" s="1"/>
  <c r="H703" i="1"/>
  <c r="H702" i="1"/>
  <c r="F659" i="1"/>
  <c r="H660" i="1"/>
  <c r="H659" i="1"/>
  <c r="F627" i="1"/>
  <c r="F628" i="1" s="1"/>
  <c r="H628" i="1"/>
  <c r="H627" i="1"/>
  <c r="F597" i="1"/>
  <c r="F598" i="1" s="1"/>
  <c r="H598" i="1"/>
  <c r="H597" i="1"/>
  <c r="H545" i="1"/>
  <c r="H544" i="1"/>
  <c r="H526" i="1"/>
  <c r="H525" i="1"/>
  <c r="H515" i="1"/>
  <c r="H514" i="1"/>
  <c r="H482" i="1"/>
  <c r="H481" i="1"/>
  <c r="F482" i="1"/>
  <c r="F469" i="1"/>
  <c r="F470" i="1" s="1"/>
  <c r="H470" i="1"/>
  <c r="H469" i="1"/>
  <c r="H463" i="1"/>
  <c r="H462" i="1"/>
  <c r="H450" i="1"/>
  <c r="H449" i="1"/>
  <c r="F411" i="1"/>
  <c r="H412" i="1"/>
  <c r="H411" i="1"/>
  <c r="H381" i="1"/>
  <c r="H380" i="1"/>
  <c r="F380" i="1"/>
  <c r="F381" i="1" s="1"/>
  <c r="H351" i="1"/>
  <c r="H350" i="1"/>
  <c r="F350" i="1"/>
  <c r="F351" i="1" s="1"/>
  <c r="H321" i="1"/>
  <c r="H320" i="1"/>
  <c r="F320" i="1"/>
  <c r="F321" i="1" s="1"/>
  <c r="H291" i="1"/>
  <c r="H290" i="1"/>
  <c r="F290" i="1"/>
  <c r="F291" i="1" s="1"/>
  <c r="F260" i="1"/>
  <c r="F261" i="1" s="1"/>
  <c r="H261" i="1"/>
  <c r="H260" i="1"/>
  <c r="F230" i="1"/>
  <c r="H231" i="1"/>
  <c r="H230" i="1"/>
  <c r="F200" i="1"/>
  <c r="F201" i="1" s="1"/>
  <c r="H201" i="1"/>
  <c r="H200" i="1"/>
  <c r="F175" i="1"/>
  <c r="H176" i="1"/>
  <c r="H175" i="1"/>
  <c r="F150" i="1"/>
  <c r="F151" i="1" s="1"/>
  <c r="H151" i="1"/>
  <c r="H150" i="1"/>
  <c r="F119" i="1"/>
  <c r="F120" i="1" s="1"/>
  <c r="H120" i="1"/>
  <c r="H119" i="1"/>
  <c r="F92" i="1"/>
  <c r="F93" i="1" s="1"/>
  <c r="H93" i="1"/>
  <c r="H92" i="1"/>
  <c r="F69" i="1"/>
  <c r="H70" i="1"/>
  <c r="H69" i="1"/>
  <c r="F443" i="1"/>
  <c r="F37" i="1"/>
  <c r="F38" i="1" s="1"/>
  <c r="H38" i="1"/>
  <c r="H37" i="1"/>
  <c r="I37" i="1" s="1"/>
  <c r="F1411" i="1"/>
  <c r="F1107" i="1"/>
  <c r="F1059" i="1"/>
  <c r="F964" i="1"/>
  <c r="F939" i="1"/>
  <c r="F901" i="1"/>
  <c r="F900" i="1"/>
  <c r="F859" i="1"/>
  <c r="F858" i="1"/>
  <c r="F808" i="1"/>
  <c r="F807" i="1"/>
  <c r="F768" i="1"/>
  <c r="F767" i="1"/>
  <c r="F736" i="1"/>
  <c r="F735" i="1"/>
  <c r="F711" i="1"/>
  <c r="F710" i="1"/>
  <c r="F677" i="1"/>
  <c r="F676" i="1"/>
  <c r="F631" i="1"/>
  <c r="F630" i="1"/>
  <c r="F601" i="1"/>
  <c r="F600" i="1"/>
  <c r="F518" i="1"/>
  <c r="F452" i="1"/>
  <c r="F415" i="1"/>
  <c r="F414" i="1"/>
  <c r="F384" i="1"/>
  <c r="F383" i="1"/>
  <c r="F354" i="1"/>
  <c r="F353" i="1"/>
  <c r="F324" i="1"/>
  <c r="F323" i="1"/>
  <c r="F294" i="1"/>
  <c r="F293" i="1"/>
  <c r="F264" i="1"/>
  <c r="F263" i="1"/>
  <c r="F234" i="1"/>
  <c r="F233" i="1"/>
  <c r="F204" i="1"/>
  <c r="F203" i="1"/>
  <c r="F179" i="1"/>
  <c r="F178" i="1"/>
  <c r="F154" i="1"/>
  <c r="F153" i="1"/>
  <c r="F123" i="1"/>
  <c r="F122" i="1"/>
  <c r="F96" i="1"/>
  <c r="F95" i="1"/>
  <c r="F73" i="1"/>
  <c r="F72" i="1"/>
  <c r="F42" i="1"/>
  <c r="F41" i="1"/>
  <c r="H900" i="1"/>
  <c r="I38" i="1" l="1"/>
  <c r="I1339" i="1"/>
  <c r="I1338" i="1"/>
  <c r="I1146" i="1"/>
  <c r="I1145" i="1"/>
  <c r="I1089" i="1"/>
  <c r="I1088" i="1"/>
  <c r="I1057" i="1"/>
  <c r="I1056" i="1"/>
  <c r="I975" i="1"/>
  <c r="I974" i="1"/>
  <c r="I884" i="1"/>
  <c r="I883" i="1"/>
  <c r="I840" i="1"/>
  <c r="I839" i="1"/>
  <c r="I800" i="1"/>
  <c r="F801" i="1"/>
  <c r="I801" i="1" s="1"/>
  <c r="I761" i="1"/>
  <c r="I760" i="1"/>
  <c r="I733" i="1"/>
  <c r="I732" i="1"/>
  <c r="I703" i="1"/>
  <c r="I702" i="1"/>
  <c r="I659" i="1"/>
  <c r="F660" i="1"/>
  <c r="I660" i="1" s="1"/>
  <c r="I628" i="1"/>
  <c r="I627" i="1"/>
  <c r="I598" i="1"/>
  <c r="I597" i="1"/>
  <c r="I470" i="1"/>
  <c r="I482" i="1"/>
  <c r="I481" i="1"/>
  <c r="I469" i="1"/>
  <c r="I411" i="1"/>
  <c r="F412" i="1"/>
  <c r="I412" i="1" s="1"/>
  <c r="I381" i="1"/>
  <c r="I380" i="1"/>
  <c r="I351" i="1"/>
  <c r="I350" i="1"/>
  <c r="I321" i="1"/>
  <c r="I320" i="1"/>
  <c r="I291" i="1"/>
  <c r="I230" i="1"/>
  <c r="I290" i="1"/>
  <c r="I261" i="1"/>
  <c r="I260" i="1"/>
  <c r="F231" i="1"/>
  <c r="I231" i="1" s="1"/>
  <c r="I201" i="1"/>
  <c r="I200" i="1"/>
  <c r="I151" i="1"/>
  <c r="I175" i="1"/>
  <c r="F176" i="1"/>
  <c r="I176" i="1" s="1"/>
  <c r="I150" i="1"/>
  <c r="I120" i="1"/>
  <c r="I119" i="1"/>
  <c r="I93" i="1"/>
  <c r="I92" i="1"/>
  <c r="I69" i="1"/>
  <c r="F70" i="1"/>
  <c r="I70" i="1" s="1"/>
  <c r="I900" i="1"/>
  <c r="F928" i="1"/>
  <c r="F929" i="1" s="1"/>
  <c r="H929" i="1"/>
  <c r="H928" i="1"/>
  <c r="I927" i="1"/>
  <c r="H924" i="1"/>
  <c r="I924" i="1" s="1"/>
  <c r="F1381" i="1"/>
  <c r="F1382" i="1" s="1"/>
  <c r="F1373" i="1"/>
  <c r="H1382" i="1"/>
  <c r="H1381" i="1"/>
  <c r="F935" i="1"/>
  <c r="F936" i="1" s="1"/>
  <c r="F937" i="1" s="1"/>
  <c r="I937" i="1" s="1"/>
  <c r="H942" i="1"/>
  <c r="H941" i="1"/>
  <c r="H940" i="1"/>
  <c r="H939" i="1"/>
  <c r="H938" i="1"/>
  <c r="H935" i="1"/>
  <c r="H179" i="1"/>
  <c r="I179" i="1" s="1"/>
  <c r="H178" i="1"/>
  <c r="I178" i="1" s="1"/>
  <c r="H177" i="1"/>
  <c r="I177" i="1" s="1"/>
  <c r="H154" i="1"/>
  <c r="I154" i="1" s="1"/>
  <c r="H153" i="1"/>
  <c r="I153" i="1" s="1"/>
  <c r="H152" i="1"/>
  <c r="I152" i="1" s="1"/>
  <c r="H123" i="1"/>
  <c r="I123" i="1" s="1"/>
  <c r="H122" i="1"/>
  <c r="I122" i="1" s="1"/>
  <c r="H121" i="1"/>
  <c r="I121" i="1" s="1"/>
  <c r="H96" i="1"/>
  <c r="I96" i="1" s="1"/>
  <c r="H95" i="1"/>
  <c r="I95" i="1" s="1"/>
  <c r="H94" i="1"/>
  <c r="I94" i="1" s="1"/>
  <c r="H73" i="1"/>
  <c r="I73" i="1" s="1"/>
  <c r="H72" i="1"/>
  <c r="I72" i="1" s="1"/>
  <c r="H71" i="1"/>
  <c r="I71" i="1" s="1"/>
  <c r="H42" i="1"/>
  <c r="I42" i="1" s="1"/>
  <c r="H41" i="1"/>
  <c r="I41" i="1" s="1"/>
  <c r="H40" i="1"/>
  <c r="I40" i="1" s="1"/>
  <c r="I936" i="1" l="1"/>
  <c r="I929" i="1"/>
  <c r="I928" i="1"/>
  <c r="I1382" i="1"/>
  <c r="I1381" i="1"/>
  <c r="I935" i="1"/>
  <c r="I938" i="1"/>
  <c r="F941" i="1"/>
  <c r="H583" i="1"/>
  <c r="I583" i="1" s="1"/>
  <c r="H582" i="1"/>
  <c r="I582" i="1" s="1"/>
  <c r="I585" i="1" s="1"/>
  <c r="I586" i="1" s="1"/>
  <c r="H856" i="1"/>
  <c r="I856" i="1" s="1"/>
  <c r="F1407" i="1"/>
  <c r="F1408" i="1" s="1"/>
  <c r="I932" i="1"/>
  <c r="F1409" i="1" l="1"/>
  <c r="I1409" i="1" s="1"/>
  <c r="I1408" i="1"/>
  <c r="I939" i="1"/>
  <c r="I940" i="1"/>
  <c r="F942" i="1"/>
  <c r="I942" i="1" s="1"/>
  <c r="I941" i="1"/>
  <c r="AI20" i="2"/>
  <c r="AI21" i="2"/>
  <c r="AI22" i="2"/>
  <c r="AI23" i="2"/>
  <c r="AI24" i="2"/>
  <c r="AI25" i="2"/>
  <c r="AI26" i="2"/>
  <c r="AI27" i="2"/>
  <c r="AI28" i="2"/>
  <c r="AI19" i="2"/>
  <c r="I943" i="1" l="1"/>
  <c r="C13" i="2"/>
  <c r="C12" i="2"/>
  <c r="C11" i="2"/>
  <c r="B28" i="2"/>
  <c r="B27" i="2"/>
  <c r="B26" i="2"/>
  <c r="B25" i="2"/>
  <c r="B24" i="2"/>
  <c r="B23" i="2"/>
  <c r="B22" i="2"/>
  <c r="B21" i="2"/>
  <c r="B20" i="2"/>
  <c r="B19" i="2"/>
  <c r="I538" i="1"/>
  <c r="I539" i="1"/>
  <c r="H540" i="1"/>
  <c r="F540" i="1"/>
  <c r="F1357" i="1"/>
  <c r="I1317" i="1"/>
  <c r="I1318" i="1"/>
  <c r="I1321" i="1"/>
  <c r="I1324" i="1"/>
  <c r="I1326" i="1"/>
  <c r="I1327" i="1"/>
  <c r="I1277" i="1"/>
  <c r="I1279" i="1"/>
  <c r="I1280" i="1"/>
  <c r="I1281" i="1"/>
  <c r="I1282" i="1"/>
  <c r="I1269" i="1"/>
  <c r="I1262" i="1"/>
  <c r="I1204" i="1"/>
  <c r="H1090" i="1"/>
  <c r="I1083" i="1"/>
  <c r="I1084" i="1"/>
  <c r="I977" i="1"/>
  <c r="I948" i="1"/>
  <c r="I930" i="1"/>
  <c r="I931" i="1"/>
  <c r="I875" i="1"/>
  <c r="I876" i="1"/>
  <c r="I910" i="1"/>
  <c r="I911" i="1"/>
  <c r="I912" i="1"/>
  <c r="I913" i="1"/>
  <c r="I917" i="1"/>
  <c r="I918" i="1"/>
  <c r="I836" i="1"/>
  <c r="I865" i="1"/>
  <c r="I867" i="1"/>
  <c r="I795" i="1"/>
  <c r="I822" i="1"/>
  <c r="I824" i="1"/>
  <c r="I828" i="1"/>
  <c r="I754" i="1"/>
  <c r="I781" i="1"/>
  <c r="I783" i="1"/>
  <c r="I787" i="1"/>
  <c r="I729" i="1"/>
  <c r="I745" i="1"/>
  <c r="I693" i="1"/>
  <c r="I720" i="1"/>
  <c r="I721" i="1"/>
  <c r="I540" i="1" l="1"/>
  <c r="I654" i="1"/>
  <c r="I655" i="1"/>
  <c r="I684" i="1"/>
  <c r="I624" i="1"/>
  <c r="I626" i="1"/>
  <c r="I641" i="1"/>
  <c r="I643" i="1"/>
  <c r="I644" i="1"/>
  <c r="I596" i="1"/>
  <c r="I611" i="1"/>
  <c r="I613" i="1"/>
  <c r="I614" i="1"/>
  <c r="I465" i="1" l="1"/>
  <c r="I436" i="1"/>
  <c r="I407" i="1"/>
  <c r="I425" i="1"/>
  <c r="I427" i="1"/>
  <c r="I428" i="1"/>
  <c r="H403" i="1"/>
  <c r="I403" i="1" s="1"/>
  <c r="H404" i="1"/>
  <c r="I404" i="1" s="1"/>
  <c r="H405" i="1"/>
  <c r="I405" i="1" s="1"/>
  <c r="H406" i="1"/>
  <c r="I406" i="1" s="1"/>
  <c r="H408" i="1"/>
  <c r="I408" i="1" s="1"/>
  <c r="H409" i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20" i="1"/>
  <c r="I420" i="1" s="1"/>
  <c r="H421" i="1"/>
  <c r="I421" i="1" s="1"/>
  <c r="H422" i="1"/>
  <c r="I422" i="1" s="1"/>
  <c r="H423" i="1"/>
  <c r="I423" i="1" s="1"/>
  <c r="H424" i="1"/>
  <c r="I424" i="1" s="1"/>
  <c r="H426" i="1"/>
  <c r="I426" i="1" s="1"/>
  <c r="H429" i="1"/>
  <c r="H402" i="1"/>
  <c r="I377" i="1"/>
  <c r="I394" i="1"/>
  <c r="I396" i="1"/>
  <c r="I397" i="1"/>
  <c r="H373" i="1"/>
  <c r="I373" i="1" s="1"/>
  <c r="H372" i="1"/>
  <c r="H313" i="1"/>
  <c r="I313" i="1" s="1"/>
  <c r="H312" i="1"/>
  <c r="I317" i="1"/>
  <c r="I334" i="1"/>
  <c r="I336" i="1"/>
  <c r="I337" i="1"/>
  <c r="H305" i="1"/>
  <c r="I287" i="1"/>
  <c r="I304" i="1"/>
  <c r="I306" i="1"/>
  <c r="I307" i="1"/>
  <c r="I257" i="1" l="1"/>
  <c r="I274" i="1"/>
  <c r="I276" i="1"/>
  <c r="I277" i="1"/>
  <c r="I227" i="1"/>
  <c r="I244" i="1"/>
  <c r="I246" i="1"/>
  <c r="I247" i="1"/>
  <c r="I197" i="1"/>
  <c r="I214" i="1"/>
  <c r="I216" i="1"/>
  <c r="I217" i="1"/>
  <c r="I173" i="1"/>
  <c r="I188" i="1"/>
  <c r="I110" i="1"/>
  <c r="I112" i="1"/>
  <c r="I114" i="1"/>
  <c r="I134" i="1"/>
  <c r="I90" i="1"/>
  <c r="I104" i="1"/>
  <c r="H870" i="1"/>
  <c r="F870" i="1"/>
  <c r="F790" i="1"/>
  <c r="H790" i="1"/>
  <c r="F749" i="1"/>
  <c r="H749" i="1"/>
  <c r="F725" i="1"/>
  <c r="H725" i="1"/>
  <c r="F687" i="1"/>
  <c r="H687" i="1"/>
  <c r="H649" i="1"/>
  <c r="F649" i="1"/>
  <c r="H619" i="1"/>
  <c r="F619" i="1"/>
  <c r="H590" i="1"/>
  <c r="F590" i="1"/>
  <c r="H871" i="1"/>
  <c r="I871" i="1" s="1"/>
  <c r="H791" i="1"/>
  <c r="I791" i="1" s="1"/>
  <c r="H750" i="1"/>
  <c r="I750" i="1" s="1"/>
  <c r="H726" i="1"/>
  <c r="I726" i="1" s="1"/>
  <c r="H688" i="1"/>
  <c r="I688" i="1" s="1"/>
  <c r="H650" i="1"/>
  <c r="I650" i="1" s="1"/>
  <c r="H620" i="1"/>
  <c r="I620" i="1" s="1"/>
  <c r="H591" i="1"/>
  <c r="I591" i="1" s="1"/>
  <c r="H343" i="1"/>
  <c r="H283" i="1"/>
  <c r="I283" i="1" s="1"/>
  <c r="H253" i="1"/>
  <c r="I253" i="1" s="1"/>
  <c r="H223" i="1"/>
  <c r="I223" i="1" s="1"/>
  <c r="H193" i="1"/>
  <c r="I193" i="1" s="1"/>
  <c r="H170" i="1"/>
  <c r="I170" i="1" s="1"/>
  <c r="F402" i="1"/>
  <c r="F372" i="1"/>
  <c r="H342" i="1"/>
  <c r="F342" i="1"/>
  <c r="F312" i="1"/>
  <c r="H282" i="1"/>
  <c r="F282" i="1"/>
  <c r="H252" i="1"/>
  <c r="F252" i="1"/>
  <c r="H222" i="1"/>
  <c r="F222" i="1"/>
  <c r="H192" i="1"/>
  <c r="F192" i="1"/>
  <c r="H169" i="1"/>
  <c r="F169" i="1"/>
  <c r="F144" i="1"/>
  <c r="H144" i="1"/>
  <c r="F63" i="1"/>
  <c r="H63" i="1"/>
  <c r="H25" i="1"/>
  <c r="I25" i="1" s="1"/>
  <c r="H107" i="1"/>
  <c r="H28" i="1"/>
  <c r="I28" i="1" s="1"/>
  <c r="H64" i="1"/>
  <c r="I64" i="1" s="1"/>
  <c r="H87" i="1"/>
  <c r="I87" i="1" s="1"/>
  <c r="H109" i="1"/>
  <c r="I109" i="1" s="1"/>
  <c r="H145" i="1"/>
  <c r="I145" i="1" s="1"/>
  <c r="I67" i="1"/>
  <c r="I870" i="1" l="1"/>
  <c r="I790" i="1"/>
  <c r="I649" i="1"/>
  <c r="I725" i="1"/>
  <c r="I749" i="1"/>
  <c r="I590" i="1"/>
  <c r="I252" i="1"/>
  <c r="I687" i="1"/>
  <c r="I619" i="1"/>
  <c r="I192" i="1"/>
  <c r="I312" i="1"/>
  <c r="I342" i="1"/>
  <c r="I169" i="1"/>
  <c r="I402" i="1"/>
  <c r="I222" i="1"/>
  <c r="I372" i="1"/>
  <c r="I282" i="1"/>
  <c r="I144" i="1"/>
  <c r="I63" i="1"/>
  <c r="H956" i="1"/>
  <c r="F956" i="1" l="1"/>
  <c r="I956" i="1" s="1"/>
  <c r="H443" i="1"/>
  <c r="I443" i="1" l="1"/>
  <c r="H672" i="1"/>
  <c r="I672" i="1" s="1"/>
  <c r="F960" i="1"/>
  <c r="F961" i="1" s="1"/>
  <c r="H1414" i="1"/>
  <c r="I1414" i="1" s="1"/>
  <c r="H1413" i="1"/>
  <c r="I1413" i="1" s="1"/>
  <c r="H1412" i="1"/>
  <c r="I1412" i="1" s="1"/>
  <c r="H1411" i="1"/>
  <c r="I1411" i="1" s="1"/>
  <c r="H1410" i="1"/>
  <c r="I1410" i="1" s="1"/>
  <c r="H1407" i="1"/>
  <c r="F962" i="1" l="1"/>
  <c r="I962" i="1" s="1"/>
  <c r="I961" i="1"/>
  <c r="I1407" i="1"/>
  <c r="I537" i="1"/>
  <c r="H536" i="1"/>
  <c r="I536" i="1" s="1"/>
  <c r="H534" i="1"/>
  <c r="I534" i="1" s="1"/>
  <c r="H535" i="1"/>
  <c r="I535" i="1" s="1"/>
  <c r="H533" i="1"/>
  <c r="I533" i="1" s="1"/>
  <c r="I541" i="1" l="1"/>
  <c r="I1415" i="1"/>
  <c r="H1417" i="1"/>
  <c r="I1417" i="1" s="1"/>
  <c r="H1404" i="1"/>
  <c r="I1404" i="1" s="1"/>
  <c r="H550" i="1"/>
  <c r="I550" i="1" s="1"/>
  <c r="F543" i="1"/>
  <c r="H549" i="1"/>
  <c r="I549" i="1" s="1"/>
  <c r="H548" i="1"/>
  <c r="I548" i="1" s="1"/>
  <c r="H547" i="1"/>
  <c r="H543" i="1"/>
  <c r="F1103" i="1"/>
  <c r="F1104" i="1" s="1"/>
  <c r="H1110" i="1"/>
  <c r="I1110" i="1" s="1"/>
  <c r="H1109" i="1"/>
  <c r="I1109" i="1" s="1"/>
  <c r="H1108" i="1"/>
  <c r="I1108" i="1" s="1"/>
  <c r="H1107" i="1"/>
  <c r="I1107" i="1" s="1"/>
  <c r="H1106" i="1"/>
  <c r="I1106" i="1" s="1"/>
  <c r="H1103" i="1"/>
  <c r="F1093" i="1"/>
  <c r="F1094" i="1" s="1"/>
  <c r="H1093" i="1"/>
  <c r="F1021" i="1"/>
  <c r="F1022" i="1" s="1"/>
  <c r="H1021" i="1"/>
  <c r="K1100" i="1"/>
  <c r="H1099" i="1"/>
  <c r="I1099" i="1" s="1"/>
  <c r="K1098" i="1"/>
  <c r="H1098" i="1"/>
  <c r="I1098" i="1" s="1"/>
  <c r="H1097" i="1"/>
  <c r="I1097" i="1" s="1"/>
  <c r="F1123" i="1"/>
  <c r="F1117" i="1"/>
  <c r="F1129" i="1"/>
  <c r="K1127" i="1"/>
  <c r="I1134" i="1"/>
  <c r="I1133" i="1"/>
  <c r="H1130" i="1"/>
  <c r="F1130" i="1"/>
  <c r="H1129" i="1"/>
  <c r="H1128" i="1"/>
  <c r="I1128" i="1" s="1"/>
  <c r="H1127" i="1"/>
  <c r="I1127" i="1" s="1"/>
  <c r="H1124" i="1"/>
  <c r="F1124" i="1"/>
  <c r="H1123" i="1"/>
  <c r="H1122" i="1"/>
  <c r="I1122" i="1" s="1"/>
  <c r="H1121" i="1"/>
  <c r="I1121" i="1" s="1"/>
  <c r="F1105" i="1" l="1"/>
  <c r="I1105" i="1" s="1"/>
  <c r="I1104" i="1"/>
  <c r="F1095" i="1"/>
  <c r="I1095" i="1" s="1"/>
  <c r="I1094" i="1"/>
  <c r="F1023" i="1"/>
  <c r="I1023" i="1" s="1"/>
  <c r="I1022" i="1"/>
  <c r="F547" i="1"/>
  <c r="I547" i="1" s="1"/>
  <c r="F544" i="1"/>
  <c r="H957" i="1"/>
  <c r="I957" i="1" s="1"/>
  <c r="H444" i="1"/>
  <c r="I444" i="1" s="1"/>
  <c r="H955" i="1"/>
  <c r="I955" i="1" s="1"/>
  <c r="H442" i="1"/>
  <c r="I442" i="1" s="1"/>
  <c r="I1135" i="1"/>
  <c r="I1136" i="1"/>
  <c r="I1130" i="1"/>
  <c r="I1129" i="1"/>
  <c r="I1124" i="1"/>
  <c r="I1123" i="1"/>
  <c r="I543" i="1"/>
  <c r="I1418" i="1"/>
  <c r="I1405" i="1"/>
  <c r="I1103" i="1"/>
  <c r="I1093" i="1"/>
  <c r="I1021" i="1"/>
  <c r="K1128" i="1"/>
  <c r="F1079" i="1"/>
  <c r="F1080" i="1" s="1"/>
  <c r="I1087" i="1"/>
  <c r="F1090" i="1"/>
  <c r="I1090" i="1" s="1"/>
  <c r="H1079" i="1"/>
  <c r="H1067" i="1"/>
  <c r="H1064" i="1"/>
  <c r="I1064" i="1" s="1"/>
  <c r="H1063" i="1"/>
  <c r="I1063" i="1" s="1"/>
  <c r="H1062" i="1"/>
  <c r="I1062" i="1" s="1"/>
  <c r="H1061" i="1"/>
  <c r="I1061" i="1" s="1"/>
  <c r="H1060" i="1"/>
  <c r="I1060" i="1" s="1"/>
  <c r="H1059" i="1"/>
  <c r="I1059" i="1" s="1"/>
  <c r="H1058" i="1"/>
  <c r="I1058" i="1" s="1"/>
  <c r="H1055" i="1"/>
  <c r="F1070" i="1"/>
  <c r="F1071" i="1" s="1"/>
  <c r="H1076" i="1"/>
  <c r="I1076" i="1" s="1"/>
  <c r="H1075" i="1"/>
  <c r="I1075" i="1" s="1"/>
  <c r="H1074" i="1"/>
  <c r="H1070" i="1"/>
  <c r="K1026" i="1"/>
  <c r="H1026" i="1"/>
  <c r="I1026" i="1" s="1"/>
  <c r="K1028" i="1"/>
  <c r="H1027" i="1"/>
  <c r="I1027" i="1" s="1"/>
  <c r="H1025" i="1"/>
  <c r="I1025" i="1" s="1"/>
  <c r="H1036" i="1"/>
  <c r="F1036" i="1"/>
  <c r="H1035" i="1"/>
  <c r="I1035" i="1" s="1"/>
  <c r="I1138" i="1" l="1"/>
  <c r="F1081" i="1"/>
  <c r="I1081" i="1" s="1"/>
  <c r="I1080" i="1"/>
  <c r="F1072" i="1"/>
  <c r="I1072" i="1" s="1"/>
  <c r="I1071" i="1"/>
  <c r="F545" i="1"/>
  <c r="I545" i="1" s="1"/>
  <c r="I544" i="1"/>
  <c r="I1036" i="1"/>
  <c r="I1419" i="1"/>
  <c r="K1405" i="1" s="1"/>
  <c r="I1111" i="1"/>
  <c r="I1131" i="1"/>
  <c r="I1125" i="1"/>
  <c r="I1079" i="1"/>
  <c r="I1067" i="1"/>
  <c r="I1068" i="1" s="1"/>
  <c r="I1070" i="1"/>
  <c r="I1055" i="1"/>
  <c r="F1074" i="1"/>
  <c r="I1074" i="1" s="1"/>
  <c r="H1034" i="1"/>
  <c r="F1034" i="1"/>
  <c r="H1033" i="1"/>
  <c r="I1033" i="1" s="1"/>
  <c r="F1118" i="1"/>
  <c r="H1118" i="1"/>
  <c r="H1115" i="1"/>
  <c r="I1115" i="1" s="1"/>
  <c r="H1116" i="1"/>
  <c r="I1116" i="1" s="1"/>
  <c r="H1117" i="1"/>
  <c r="I1117" i="1" s="1"/>
  <c r="K1418" i="1" l="1"/>
  <c r="K1415" i="1"/>
  <c r="C28" i="2"/>
  <c r="I1118" i="1"/>
  <c r="I1119" i="1" s="1"/>
  <c r="I1139" i="1" s="1"/>
  <c r="I1034" i="1"/>
  <c r="I1091" i="1"/>
  <c r="I1085" i="1"/>
  <c r="I1065" i="1"/>
  <c r="H1049" i="1"/>
  <c r="F1042" i="1"/>
  <c r="F1039" i="1"/>
  <c r="F1040" i="1" s="1"/>
  <c r="H1046" i="1"/>
  <c r="I1046" i="1" s="1"/>
  <c r="H1045" i="1"/>
  <c r="I1045" i="1" s="1"/>
  <c r="H1043" i="1"/>
  <c r="H1039" i="1"/>
  <c r="H1032" i="1"/>
  <c r="F1032" i="1"/>
  <c r="H1031" i="1"/>
  <c r="I1031" i="1" s="1"/>
  <c r="F1365" i="1"/>
  <c r="F1361" i="1"/>
  <c r="H1365" i="1"/>
  <c r="H1374" i="1"/>
  <c r="H1373" i="1"/>
  <c r="D1352" i="1"/>
  <c r="C1352" i="1"/>
  <c r="H488" i="1"/>
  <c r="I488" i="1" s="1"/>
  <c r="H487" i="1"/>
  <c r="I487" i="1" s="1"/>
  <c r="F1041" i="1" l="1"/>
  <c r="I1041" i="1" s="1"/>
  <c r="I1040" i="1"/>
  <c r="I1365" i="1"/>
  <c r="AD28" i="2"/>
  <c r="N28" i="2"/>
  <c r="AB28" i="2"/>
  <c r="L28" i="2"/>
  <c r="Z28" i="2"/>
  <c r="F28" i="2"/>
  <c r="X28" i="2"/>
  <c r="H28" i="2"/>
  <c r="V28" i="2"/>
  <c r="J28" i="2"/>
  <c r="T28" i="2"/>
  <c r="AH28" i="2"/>
  <c r="R28" i="2"/>
  <c r="AF28" i="2"/>
  <c r="P28" i="2"/>
  <c r="K1119" i="1"/>
  <c r="I1032" i="1"/>
  <c r="I1037" i="1" s="1"/>
  <c r="I1049" i="1"/>
  <c r="F1043" i="1"/>
  <c r="I1043" i="1" s="1"/>
  <c r="I1039" i="1"/>
  <c r="H1018" i="1"/>
  <c r="H1017" i="1"/>
  <c r="H1016" i="1"/>
  <c r="H1015" i="1"/>
  <c r="I1015" i="1" s="1"/>
  <c r="F1016" i="1"/>
  <c r="H1014" i="1"/>
  <c r="I1014" i="1" s="1"/>
  <c r="H1013" i="1"/>
  <c r="I1013" i="1" s="1"/>
  <c r="H1012" i="1"/>
  <c r="I1012" i="1" s="1"/>
  <c r="H1011" i="1"/>
  <c r="I1011" i="1" s="1"/>
  <c r="K998" i="1"/>
  <c r="K1007" i="1"/>
  <c r="K1003" i="1"/>
  <c r="K999" i="1"/>
  <c r="K1000" i="1"/>
  <c r="K1001" i="1"/>
  <c r="K1002" i="1"/>
  <c r="H1000" i="1"/>
  <c r="I1000" i="1" s="1"/>
  <c r="H999" i="1"/>
  <c r="I999" i="1" s="1"/>
  <c r="K1004" i="1"/>
  <c r="K1006" i="1"/>
  <c r="K1005" i="1"/>
  <c r="F994" i="1"/>
  <c r="H1008" i="1"/>
  <c r="H1007" i="1"/>
  <c r="H1006" i="1"/>
  <c r="H1005" i="1"/>
  <c r="I1005" i="1" s="1"/>
  <c r="F1006" i="1"/>
  <c r="H1004" i="1"/>
  <c r="I1004" i="1" s="1"/>
  <c r="H1003" i="1"/>
  <c r="I1003" i="1" s="1"/>
  <c r="H1002" i="1"/>
  <c r="I1002" i="1" s="1"/>
  <c r="H1001" i="1"/>
  <c r="I1001" i="1" s="1"/>
  <c r="H997" i="1"/>
  <c r="I997" i="1" s="1"/>
  <c r="H996" i="1"/>
  <c r="I996" i="1" s="1"/>
  <c r="H994" i="1"/>
  <c r="H993" i="1"/>
  <c r="I993" i="1" s="1"/>
  <c r="H973" i="1"/>
  <c r="I973" i="1" s="1"/>
  <c r="H972" i="1"/>
  <c r="I972" i="1" s="1"/>
  <c r="H971" i="1"/>
  <c r="I971" i="1" s="1"/>
  <c r="H967" i="1"/>
  <c r="I967" i="1" s="1"/>
  <c r="H966" i="1"/>
  <c r="I966" i="1" s="1"/>
  <c r="H965" i="1"/>
  <c r="I965" i="1" s="1"/>
  <c r="H964" i="1"/>
  <c r="I964" i="1" s="1"/>
  <c r="H963" i="1"/>
  <c r="I963" i="1" s="1"/>
  <c r="H960" i="1"/>
  <c r="H954" i="1"/>
  <c r="I954" i="1" s="1"/>
  <c r="H953" i="1"/>
  <c r="I953" i="1" s="1"/>
  <c r="H952" i="1"/>
  <c r="I952" i="1" s="1"/>
  <c r="H950" i="1"/>
  <c r="H947" i="1"/>
  <c r="I947" i="1" s="1"/>
  <c r="H806" i="1"/>
  <c r="I806" i="1" s="1"/>
  <c r="H766" i="1"/>
  <c r="I766" i="1" s="1"/>
  <c r="H734" i="1"/>
  <c r="I734" i="1" s="1"/>
  <c r="H709" i="1"/>
  <c r="I709" i="1" s="1"/>
  <c r="I978" i="1" l="1"/>
  <c r="I991" i="1" s="1"/>
  <c r="K1138" i="1"/>
  <c r="K1131" i="1"/>
  <c r="K1125" i="1"/>
  <c r="C25" i="2"/>
  <c r="I1016" i="1"/>
  <c r="I994" i="1"/>
  <c r="F1007" i="1"/>
  <c r="I1007" i="1" s="1"/>
  <c r="I1006" i="1"/>
  <c r="F950" i="1"/>
  <c r="I950" i="1" s="1"/>
  <c r="I960" i="1"/>
  <c r="F1017" i="1"/>
  <c r="I1017" i="1" s="1"/>
  <c r="H675" i="1"/>
  <c r="I675" i="1" s="1"/>
  <c r="H629" i="1"/>
  <c r="I629" i="1" s="1"/>
  <c r="H599" i="1"/>
  <c r="I599" i="1" s="1"/>
  <c r="H382" i="1"/>
  <c r="I382" i="1" s="1"/>
  <c r="H352" i="1"/>
  <c r="I352" i="1" s="1"/>
  <c r="H322" i="1"/>
  <c r="I322" i="1" s="1"/>
  <c r="H292" i="1"/>
  <c r="I292" i="1" s="1"/>
  <c r="H262" i="1"/>
  <c r="I262" i="1" s="1"/>
  <c r="H232" i="1"/>
  <c r="I232" i="1" s="1"/>
  <c r="H202" i="1"/>
  <c r="I202" i="1" s="1"/>
  <c r="F923" i="1"/>
  <c r="F925" i="1" s="1"/>
  <c r="H916" i="1"/>
  <c r="I916" i="1" s="1"/>
  <c r="H915" i="1"/>
  <c r="I915" i="1" s="1"/>
  <c r="H919" i="1"/>
  <c r="I919" i="1" s="1"/>
  <c r="H906" i="1"/>
  <c r="I906" i="1" s="1"/>
  <c r="H909" i="1"/>
  <c r="I909" i="1" s="1"/>
  <c r="H907" i="1"/>
  <c r="I907" i="1" s="1"/>
  <c r="K905" i="1"/>
  <c r="H905" i="1"/>
  <c r="I905" i="1" s="1"/>
  <c r="K904" i="1"/>
  <c r="H904" i="1"/>
  <c r="I904" i="1" s="1"/>
  <c r="K903" i="1"/>
  <c r="H903" i="1"/>
  <c r="I903" i="1" s="1"/>
  <c r="K902" i="1"/>
  <c r="H902" i="1"/>
  <c r="I902" i="1" s="1"/>
  <c r="F888" i="1"/>
  <c r="H886" i="1"/>
  <c r="I886" i="1" s="1"/>
  <c r="H882" i="1"/>
  <c r="I882" i="1" s="1"/>
  <c r="H881" i="1"/>
  <c r="I881" i="1" s="1"/>
  <c r="H878" i="1"/>
  <c r="I878" i="1" s="1"/>
  <c r="H877" i="1"/>
  <c r="I877" i="1" s="1"/>
  <c r="H880" i="1"/>
  <c r="I880" i="1" s="1"/>
  <c r="H879" i="1"/>
  <c r="I879" i="1" s="1"/>
  <c r="H874" i="1"/>
  <c r="I874" i="1" s="1"/>
  <c r="H873" i="1"/>
  <c r="I873" i="1" s="1"/>
  <c r="H872" i="1"/>
  <c r="I872" i="1" s="1"/>
  <c r="F926" i="1" l="1"/>
  <c r="I926" i="1" s="1"/>
  <c r="I925" i="1"/>
  <c r="I923" i="1"/>
  <c r="AF25" i="2"/>
  <c r="X25" i="2"/>
  <c r="P25" i="2"/>
  <c r="H25" i="2"/>
  <c r="AH25" i="2"/>
  <c r="Z25" i="2"/>
  <c r="R25" i="2"/>
  <c r="F25" i="2"/>
  <c r="AB25" i="2"/>
  <c r="T25" i="2"/>
  <c r="L25" i="2"/>
  <c r="J25" i="2"/>
  <c r="AD25" i="2"/>
  <c r="V25" i="2"/>
  <c r="N25" i="2"/>
  <c r="F1008" i="1"/>
  <c r="I1008" i="1" s="1"/>
  <c r="I968" i="1"/>
  <c r="F1018" i="1"/>
  <c r="I1018" i="1" s="1"/>
  <c r="H914" i="1"/>
  <c r="I914" i="1" s="1"/>
  <c r="H901" i="1"/>
  <c r="H899" i="1"/>
  <c r="I899" i="1" s="1"/>
  <c r="H898" i="1"/>
  <c r="I898" i="1" s="1"/>
  <c r="H897" i="1"/>
  <c r="I897" i="1" s="1"/>
  <c r="H896" i="1"/>
  <c r="I896" i="1" s="1"/>
  <c r="H895" i="1"/>
  <c r="I895" i="1" s="1"/>
  <c r="H894" i="1"/>
  <c r="I894" i="1" s="1"/>
  <c r="H893" i="1"/>
  <c r="I893" i="1" s="1"/>
  <c r="H892" i="1"/>
  <c r="I892" i="1" s="1"/>
  <c r="H891" i="1"/>
  <c r="I891" i="1" s="1"/>
  <c r="H890" i="1"/>
  <c r="I890" i="1" s="1"/>
  <c r="H888" i="1"/>
  <c r="I888" i="1" s="1"/>
  <c r="H887" i="1"/>
  <c r="I887" i="1" s="1"/>
  <c r="F846" i="1"/>
  <c r="F845" i="1"/>
  <c r="F844" i="1"/>
  <c r="F843" i="1"/>
  <c r="H848" i="1"/>
  <c r="I848" i="1" s="1"/>
  <c r="H847" i="1"/>
  <c r="I847" i="1" s="1"/>
  <c r="H846" i="1"/>
  <c r="H845" i="1"/>
  <c r="H843" i="1"/>
  <c r="H842" i="1"/>
  <c r="I842" i="1" s="1"/>
  <c r="F866" i="1"/>
  <c r="I866" i="1" s="1"/>
  <c r="H855" i="1"/>
  <c r="F855" i="1"/>
  <c r="H854" i="1"/>
  <c r="I854" i="1" s="1"/>
  <c r="H851" i="1"/>
  <c r="F851" i="1"/>
  <c r="H853" i="1"/>
  <c r="I853" i="1" s="1"/>
  <c r="H852" i="1"/>
  <c r="I852" i="1" s="1"/>
  <c r="H850" i="1"/>
  <c r="I850" i="1" s="1"/>
  <c r="H849" i="1"/>
  <c r="I849" i="1" s="1"/>
  <c r="H837" i="1"/>
  <c r="I837" i="1" s="1"/>
  <c r="H838" i="1"/>
  <c r="I838" i="1" s="1"/>
  <c r="H835" i="1"/>
  <c r="I835" i="1" s="1"/>
  <c r="H834" i="1"/>
  <c r="I834" i="1" s="1"/>
  <c r="H833" i="1"/>
  <c r="I833" i="1" s="1"/>
  <c r="H832" i="1"/>
  <c r="I832" i="1" s="1"/>
  <c r="H864" i="1"/>
  <c r="I864" i="1" s="1"/>
  <c r="H863" i="1"/>
  <c r="I863" i="1" s="1"/>
  <c r="H862" i="1"/>
  <c r="I862" i="1" s="1"/>
  <c r="H779" i="1"/>
  <c r="I779" i="1" s="1"/>
  <c r="H778" i="1"/>
  <c r="I778" i="1" s="1"/>
  <c r="H820" i="1"/>
  <c r="I820" i="1" s="1"/>
  <c r="H861" i="1"/>
  <c r="H860" i="1"/>
  <c r="H859" i="1"/>
  <c r="H858" i="1"/>
  <c r="H857" i="1"/>
  <c r="I857" i="1" s="1"/>
  <c r="I831" i="1"/>
  <c r="H1344" i="1"/>
  <c r="H1343" i="1"/>
  <c r="H1342" i="1"/>
  <c r="H1341" i="1"/>
  <c r="H1340" i="1"/>
  <c r="F1340" i="1"/>
  <c r="F1341" i="1" s="1"/>
  <c r="H1337" i="1"/>
  <c r="F1352" i="1"/>
  <c r="H1351" i="1"/>
  <c r="F1351" i="1"/>
  <c r="H1350" i="1"/>
  <c r="H1349" i="1"/>
  <c r="F1349" i="1"/>
  <c r="F1350" i="1" s="1"/>
  <c r="F1348" i="1"/>
  <c r="I1348" i="1" s="1"/>
  <c r="F1347" i="1"/>
  <c r="I1347" i="1" s="1"/>
  <c r="H818" i="1"/>
  <c r="I818" i="1" s="1"/>
  <c r="H827" i="1"/>
  <c r="I827" i="1" s="1"/>
  <c r="H826" i="1"/>
  <c r="I826" i="1" s="1"/>
  <c r="H825" i="1"/>
  <c r="I825" i="1" s="1"/>
  <c r="H823" i="1"/>
  <c r="I823" i="1" s="1"/>
  <c r="H821" i="1"/>
  <c r="I821" i="1" s="1"/>
  <c r="H819" i="1"/>
  <c r="I819" i="1" s="1"/>
  <c r="H817" i="1"/>
  <c r="I817" i="1" s="1"/>
  <c r="H816" i="1"/>
  <c r="I816" i="1" s="1"/>
  <c r="H815" i="1"/>
  <c r="I815" i="1" s="1"/>
  <c r="H814" i="1"/>
  <c r="I814" i="1" s="1"/>
  <c r="K813" i="1"/>
  <c r="H813" i="1"/>
  <c r="I813" i="1" s="1"/>
  <c r="H811" i="1"/>
  <c r="I811" i="1" s="1"/>
  <c r="K810" i="1"/>
  <c r="H810" i="1"/>
  <c r="I810" i="1" s="1"/>
  <c r="K809" i="1"/>
  <c r="H809" i="1"/>
  <c r="I809" i="1" s="1"/>
  <c r="H808" i="1"/>
  <c r="I808" i="1" s="1"/>
  <c r="H807" i="1"/>
  <c r="I807" i="1" s="1"/>
  <c r="H805" i="1"/>
  <c r="I805" i="1" s="1"/>
  <c r="H804" i="1"/>
  <c r="I804" i="1" s="1"/>
  <c r="H803" i="1"/>
  <c r="I803" i="1" s="1"/>
  <c r="H802" i="1"/>
  <c r="I802" i="1" s="1"/>
  <c r="H799" i="1"/>
  <c r="I799" i="1" s="1"/>
  <c r="H798" i="1"/>
  <c r="I798" i="1" s="1"/>
  <c r="H797" i="1"/>
  <c r="I797" i="1" s="1"/>
  <c r="H796" i="1"/>
  <c r="I796" i="1" s="1"/>
  <c r="H794" i="1"/>
  <c r="I794" i="1" s="1"/>
  <c r="H793" i="1"/>
  <c r="I793" i="1" s="1"/>
  <c r="H792" i="1"/>
  <c r="I792" i="1" s="1"/>
  <c r="I846" i="1" l="1"/>
  <c r="I845" i="1"/>
  <c r="I901" i="1"/>
  <c r="I1349" i="1"/>
  <c r="I1340" i="1"/>
  <c r="I1351" i="1"/>
  <c r="I1350" i="1"/>
  <c r="I858" i="1"/>
  <c r="I851" i="1"/>
  <c r="I933" i="1"/>
  <c r="I855" i="1"/>
  <c r="I843" i="1"/>
  <c r="I1019" i="1"/>
  <c r="I859" i="1"/>
  <c r="I1337" i="1"/>
  <c r="I1341" i="1"/>
  <c r="H786" i="1"/>
  <c r="I786" i="1" s="1"/>
  <c r="H785" i="1"/>
  <c r="I785" i="1" s="1"/>
  <c r="H784" i="1"/>
  <c r="I784" i="1" s="1"/>
  <c r="H782" i="1"/>
  <c r="I782" i="1" s="1"/>
  <c r="H780" i="1"/>
  <c r="I780" i="1" s="1"/>
  <c r="H777" i="1"/>
  <c r="I777" i="1" s="1"/>
  <c r="F860" i="1" l="1"/>
  <c r="I860" i="1" s="1"/>
  <c r="I1342" i="1"/>
  <c r="H722" i="1"/>
  <c r="I722" i="1" s="1"/>
  <c r="H776" i="1"/>
  <c r="I776" i="1" s="1"/>
  <c r="H775" i="1"/>
  <c r="I775" i="1" s="1"/>
  <c r="H774" i="1"/>
  <c r="I774" i="1" s="1"/>
  <c r="K773" i="1"/>
  <c r="H773" i="1"/>
  <c r="I773" i="1" s="1"/>
  <c r="H771" i="1"/>
  <c r="I771" i="1" s="1"/>
  <c r="K770" i="1"/>
  <c r="H770" i="1"/>
  <c r="I770" i="1" s="1"/>
  <c r="K769" i="1"/>
  <c r="H769" i="1"/>
  <c r="I769" i="1" s="1"/>
  <c r="H768" i="1"/>
  <c r="I768" i="1" s="1"/>
  <c r="H767" i="1"/>
  <c r="I767" i="1" s="1"/>
  <c r="H765" i="1"/>
  <c r="I765" i="1" s="1"/>
  <c r="H764" i="1"/>
  <c r="I764" i="1" s="1"/>
  <c r="H763" i="1"/>
  <c r="I763" i="1" s="1"/>
  <c r="H762" i="1"/>
  <c r="I762" i="1" s="1"/>
  <c r="H759" i="1"/>
  <c r="I759" i="1" s="1"/>
  <c r="H758" i="1"/>
  <c r="I758" i="1" s="1"/>
  <c r="H757" i="1"/>
  <c r="I757" i="1" s="1"/>
  <c r="H756" i="1"/>
  <c r="I756" i="1" s="1"/>
  <c r="H755" i="1"/>
  <c r="I755" i="1" s="1"/>
  <c r="H753" i="1"/>
  <c r="I753" i="1" s="1"/>
  <c r="H752" i="1"/>
  <c r="I752" i="1" s="1"/>
  <c r="H751" i="1"/>
  <c r="I751" i="1" s="1"/>
  <c r="H731" i="1"/>
  <c r="I731" i="1" s="1"/>
  <c r="H744" i="1"/>
  <c r="I744" i="1" s="1"/>
  <c r="H743" i="1"/>
  <c r="F743" i="1"/>
  <c r="H742" i="1"/>
  <c r="I742" i="1" s="1"/>
  <c r="K741" i="1"/>
  <c r="H741" i="1"/>
  <c r="I741" i="1" s="1"/>
  <c r="H739" i="1"/>
  <c r="I739" i="1" s="1"/>
  <c r="K738" i="1"/>
  <c r="H738" i="1"/>
  <c r="I738" i="1" s="1"/>
  <c r="K737" i="1"/>
  <c r="H737" i="1"/>
  <c r="I737" i="1" s="1"/>
  <c r="H736" i="1"/>
  <c r="I736" i="1" s="1"/>
  <c r="H735" i="1"/>
  <c r="I735" i="1" s="1"/>
  <c r="H730" i="1"/>
  <c r="I730" i="1" s="1"/>
  <c r="H728" i="1"/>
  <c r="I728" i="1" s="1"/>
  <c r="H727" i="1"/>
  <c r="I727" i="1" s="1"/>
  <c r="D746" i="1"/>
  <c r="C746" i="1"/>
  <c r="H707" i="1"/>
  <c r="I707" i="1" s="1"/>
  <c r="H700" i="1"/>
  <c r="I700" i="1" s="1"/>
  <c r="H692" i="1"/>
  <c r="I692" i="1" s="1"/>
  <c r="H718" i="1"/>
  <c r="I718" i="1" s="1"/>
  <c r="I743" i="1" l="1"/>
  <c r="F861" i="1"/>
  <c r="I861" i="1" s="1"/>
  <c r="F1343" i="1"/>
  <c r="I1343" i="1" s="1"/>
  <c r="H719" i="1"/>
  <c r="I719" i="1" s="1"/>
  <c r="H708" i="1"/>
  <c r="I708" i="1" s="1"/>
  <c r="H706" i="1"/>
  <c r="I706" i="1" s="1"/>
  <c r="H698" i="1"/>
  <c r="I698" i="1" s="1"/>
  <c r="H697" i="1"/>
  <c r="I697" i="1" s="1"/>
  <c r="H696" i="1"/>
  <c r="I696" i="1" s="1"/>
  <c r="H695" i="1"/>
  <c r="I695" i="1" s="1"/>
  <c r="H717" i="1"/>
  <c r="I717" i="1" s="1"/>
  <c r="K716" i="1"/>
  <c r="H716" i="1"/>
  <c r="I716" i="1" s="1"/>
  <c r="H714" i="1"/>
  <c r="I714" i="1" s="1"/>
  <c r="K713" i="1"/>
  <c r="H713" i="1"/>
  <c r="I713" i="1" s="1"/>
  <c r="K712" i="1"/>
  <c r="H712" i="1"/>
  <c r="I712" i="1" s="1"/>
  <c r="H711" i="1"/>
  <c r="I711" i="1" s="1"/>
  <c r="H710" i="1"/>
  <c r="I710" i="1" s="1"/>
  <c r="H705" i="1"/>
  <c r="I705" i="1" s="1"/>
  <c r="H704" i="1"/>
  <c r="I704" i="1" s="1"/>
  <c r="H701" i="1"/>
  <c r="I701" i="1" s="1"/>
  <c r="H699" i="1"/>
  <c r="I699" i="1" s="1"/>
  <c r="H694" i="1"/>
  <c r="I694" i="1" s="1"/>
  <c r="H691" i="1"/>
  <c r="I691" i="1" s="1"/>
  <c r="H690" i="1"/>
  <c r="I690" i="1" s="1"/>
  <c r="H689" i="1"/>
  <c r="I689" i="1" s="1"/>
  <c r="F663" i="1"/>
  <c r="F669" i="1" s="1"/>
  <c r="F666" i="1"/>
  <c r="F667" i="1"/>
  <c r="H670" i="1"/>
  <c r="I670" i="1" s="1"/>
  <c r="H671" i="1"/>
  <c r="I671" i="1" s="1"/>
  <c r="F668" i="1"/>
  <c r="H663" i="1"/>
  <c r="F662" i="1"/>
  <c r="D661" i="1"/>
  <c r="H669" i="1"/>
  <c r="H668" i="1"/>
  <c r="H667" i="1"/>
  <c r="H666" i="1"/>
  <c r="H664" i="1"/>
  <c r="H662" i="1"/>
  <c r="C661" i="1"/>
  <c r="H673" i="1"/>
  <c r="I673" i="1" s="1"/>
  <c r="H674" i="1"/>
  <c r="I674" i="1" s="1"/>
  <c r="I666" i="1" l="1"/>
  <c r="I667" i="1"/>
  <c r="I668" i="1"/>
  <c r="I662" i="1"/>
  <c r="I663" i="1"/>
  <c r="I669" i="1"/>
  <c r="F1344" i="1"/>
  <c r="I1344" i="1" s="1"/>
  <c r="F664" i="1"/>
  <c r="I664" i="1" s="1"/>
  <c r="F658" i="1"/>
  <c r="I1345" i="1" l="1"/>
  <c r="H657" i="1"/>
  <c r="I657" i="1" s="1"/>
  <c r="H658" i="1"/>
  <c r="I658" i="1" s="1"/>
  <c r="H656" i="1"/>
  <c r="I656" i="1" s="1"/>
  <c r="H683" i="1" l="1"/>
  <c r="I683" i="1" s="1"/>
  <c r="K682" i="1"/>
  <c r="H682" i="1"/>
  <c r="I682" i="1" s="1"/>
  <c r="H680" i="1"/>
  <c r="I680" i="1" s="1"/>
  <c r="K679" i="1"/>
  <c r="H679" i="1"/>
  <c r="I679" i="1" s="1"/>
  <c r="K678" i="1"/>
  <c r="H678" i="1"/>
  <c r="I678" i="1" s="1"/>
  <c r="H677" i="1"/>
  <c r="I677" i="1" s="1"/>
  <c r="H676" i="1"/>
  <c r="I676" i="1" s="1"/>
  <c r="H653" i="1"/>
  <c r="I653" i="1" s="1"/>
  <c r="H652" i="1"/>
  <c r="I652" i="1" s="1"/>
  <c r="H651" i="1"/>
  <c r="I651" i="1" s="1"/>
  <c r="H530" i="1" l="1"/>
  <c r="I530" i="1" s="1"/>
  <c r="H529" i="1"/>
  <c r="I529" i="1" s="1"/>
  <c r="H528" i="1"/>
  <c r="F524" i="1"/>
  <c r="F471" i="1"/>
  <c r="F472" i="1" s="1"/>
  <c r="H472" i="1"/>
  <c r="H471" i="1"/>
  <c r="H524" i="1"/>
  <c r="F516" i="1"/>
  <c r="F517" i="1" s="1"/>
  <c r="F513" i="1"/>
  <c r="F514" i="1" s="1"/>
  <c r="H520" i="1"/>
  <c r="H519" i="1"/>
  <c r="H518" i="1"/>
  <c r="H517" i="1"/>
  <c r="H516" i="1"/>
  <c r="H513" i="1"/>
  <c r="F468" i="1"/>
  <c r="H468" i="1"/>
  <c r="F476" i="1"/>
  <c r="F492" i="1"/>
  <c r="F494" i="1"/>
  <c r="H510" i="1"/>
  <c r="H509" i="1"/>
  <c r="H496" i="1"/>
  <c r="H495" i="1"/>
  <c r="H506" i="1"/>
  <c r="F503" i="1"/>
  <c r="F504" i="1" s="1"/>
  <c r="H505" i="1"/>
  <c r="H504" i="1"/>
  <c r="H503" i="1"/>
  <c r="H494" i="1"/>
  <c r="H493" i="1"/>
  <c r="I493" i="1" s="1"/>
  <c r="F502" i="1"/>
  <c r="F501" i="1"/>
  <c r="H502" i="1"/>
  <c r="H501" i="1"/>
  <c r="H500" i="1"/>
  <c r="I500" i="1" s="1"/>
  <c r="H499" i="1"/>
  <c r="F528" i="1" l="1"/>
  <c r="I528" i="1" s="1"/>
  <c r="F525" i="1"/>
  <c r="F515" i="1"/>
  <c r="I515" i="1" s="1"/>
  <c r="I514" i="1"/>
  <c r="I501" i="1"/>
  <c r="I502" i="1"/>
  <c r="I516" i="1"/>
  <c r="I471" i="1"/>
  <c r="I503" i="1"/>
  <c r="I517" i="1"/>
  <c r="I504" i="1"/>
  <c r="F495" i="1"/>
  <c r="I495" i="1" s="1"/>
  <c r="I494" i="1"/>
  <c r="I472" i="1"/>
  <c r="I468" i="1"/>
  <c r="I524" i="1"/>
  <c r="I513" i="1"/>
  <c r="F510" i="1"/>
  <c r="I510" i="1" s="1"/>
  <c r="I509" i="1"/>
  <c r="I511" i="1" s="1"/>
  <c r="F505" i="1"/>
  <c r="I499" i="1"/>
  <c r="F526" i="1" l="1"/>
  <c r="I526" i="1" s="1"/>
  <c r="I525" i="1"/>
  <c r="F496" i="1"/>
  <c r="I496" i="1" s="1"/>
  <c r="F519" i="1"/>
  <c r="I518" i="1"/>
  <c r="F506" i="1"/>
  <c r="I506" i="1" s="1"/>
  <c r="I505" i="1"/>
  <c r="I473" i="1"/>
  <c r="I507" i="1" l="1"/>
  <c r="F520" i="1"/>
  <c r="I520" i="1" s="1"/>
  <c r="I519" i="1"/>
  <c r="H480" i="1" l="1"/>
  <c r="I480" i="1" s="1"/>
  <c r="H479" i="1"/>
  <c r="I479" i="1" s="1"/>
  <c r="H478" i="1"/>
  <c r="I478" i="1" s="1"/>
  <c r="H485" i="1"/>
  <c r="I485" i="1" s="1"/>
  <c r="H489" i="1"/>
  <c r="I489" i="1" s="1"/>
  <c r="H492" i="1"/>
  <c r="I492" i="1" s="1"/>
  <c r="H490" i="1"/>
  <c r="I490" i="1" s="1"/>
  <c r="H491" i="1"/>
  <c r="I491" i="1" s="1"/>
  <c r="H484" i="1"/>
  <c r="I484" i="1" s="1"/>
  <c r="F477" i="1"/>
  <c r="H477" i="1"/>
  <c r="I477" i="1" l="1"/>
  <c r="H645" i="1"/>
  <c r="F645" i="1"/>
  <c r="H642" i="1"/>
  <c r="I642" i="1" s="1"/>
  <c r="H640" i="1"/>
  <c r="I640" i="1" s="1"/>
  <c r="H639" i="1"/>
  <c r="I639" i="1" s="1"/>
  <c r="H638" i="1"/>
  <c r="F638" i="1"/>
  <c r="H637" i="1"/>
  <c r="I637" i="1" s="1"/>
  <c r="K636" i="1"/>
  <c r="H636" i="1"/>
  <c r="I636" i="1" s="1"/>
  <c r="H634" i="1"/>
  <c r="I634" i="1" s="1"/>
  <c r="K633" i="1"/>
  <c r="H633" i="1"/>
  <c r="I633" i="1" s="1"/>
  <c r="K632" i="1"/>
  <c r="H632" i="1"/>
  <c r="I632" i="1" s="1"/>
  <c r="H631" i="1"/>
  <c r="I631" i="1" s="1"/>
  <c r="H630" i="1"/>
  <c r="I630" i="1" s="1"/>
  <c r="H625" i="1"/>
  <c r="I625" i="1" s="1"/>
  <c r="H623" i="1"/>
  <c r="I623" i="1" s="1"/>
  <c r="H622" i="1"/>
  <c r="I622" i="1" s="1"/>
  <c r="H621" i="1"/>
  <c r="I621" i="1" s="1"/>
  <c r="F608" i="1"/>
  <c r="H615" i="1"/>
  <c r="F615" i="1"/>
  <c r="H612" i="1"/>
  <c r="I612" i="1" s="1"/>
  <c r="H610" i="1"/>
  <c r="I610" i="1" s="1"/>
  <c r="H609" i="1"/>
  <c r="I609" i="1" s="1"/>
  <c r="H608" i="1"/>
  <c r="H607" i="1"/>
  <c r="I607" i="1" s="1"/>
  <c r="K606" i="1"/>
  <c r="H606" i="1"/>
  <c r="I606" i="1" s="1"/>
  <c r="H604" i="1"/>
  <c r="I604" i="1" s="1"/>
  <c r="K603" i="1"/>
  <c r="H603" i="1"/>
  <c r="I603" i="1" s="1"/>
  <c r="K602" i="1"/>
  <c r="H602" i="1"/>
  <c r="I602" i="1" s="1"/>
  <c r="H601" i="1"/>
  <c r="I601" i="1" s="1"/>
  <c r="H600" i="1"/>
  <c r="I600" i="1" s="1"/>
  <c r="H595" i="1"/>
  <c r="I595" i="1" s="1"/>
  <c r="H594" i="1"/>
  <c r="I594" i="1" s="1"/>
  <c r="H593" i="1"/>
  <c r="I593" i="1" s="1"/>
  <c r="H592" i="1"/>
  <c r="I592" i="1" s="1"/>
  <c r="F409" i="1"/>
  <c r="I409" i="1" s="1"/>
  <c r="F410" i="1"/>
  <c r="I410" i="1" s="1"/>
  <c r="K416" i="1"/>
  <c r="K417" i="1"/>
  <c r="K420" i="1"/>
  <c r="H476" i="1"/>
  <c r="F461" i="1"/>
  <c r="H459" i="1"/>
  <c r="I459" i="1" s="1"/>
  <c r="F460" i="1"/>
  <c r="H461" i="1"/>
  <c r="H460" i="1"/>
  <c r="H451" i="1"/>
  <c r="I451" i="1" s="1"/>
  <c r="H456" i="1"/>
  <c r="I456" i="1" s="1"/>
  <c r="H454" i="1"/>
  <c r="I454" i="1" s="1"/>
  <c r="F448" i="1"/>
  <c r="F449" i="1" s="1"/>
  <c r="H453" i="1"/>
  <c r="I453" i="1" s="1"/>
  <c r="H452" i="1"/>
  <c r="I452" i="1" s="1"/>
  <c r="H448" i="1"/>
  <c r="I460" i="1" l="1"/>
  <c r="F462" i="1"/>
  <c r="F463" i="1" s="1"/>
  <c r="I463" i="1" s="1"/>
  <c r="F450" i="1"/>
  <c r="I450" i="1" s="1"/>
  <c r="I449" i="1"/>
  <c r="I461" i="1"/>
  <c r="I608" i="1"/>
  <c r="I645" i="1"/>
  <c r="H1100" i="1"/>
  <c r="I1100" i="1" s="1"/>
  <c r="H1028" i="1"/>
  <c r="I1028" i="1" s="1"/>
  <c r="H998" i="1"/>
  <c r="I998" i="1" s="1"/>
  <c r="H889" i="1"/>
  <c r="I889" i="1" s="1"/>
  <c r="H844" i="1"/>
  <c r="I844" i="1" s="1"/>
  <c r="H665" i="1"/>
  <c r="I665" i="1" s="1"/>
  <c r="H486" i="1"/>
  <c r="I486" i="1" s="1"/>
  <c r="H1096" i="1"/>
  <c r="I1096" i="1" s="1"/>
  <c r="H1024" i="1"/>
  <c r="I1024" i="1" s="1"/>
  <c r="H995" i="1"/>
  <c r="I995" i="1" s="1"/>
  <c r="H885" i="1"/>
  <c r="I885" i="1" s="1"/>
  <c r="H841" i="1"/>
  <c r="I841" i="1" s="1"/>
  <c r="H483" i="1"/>
  <c r="I483" i="1" s="1"/>
  <c r="H661" i="1"/>
  <c r="I661" i="1" s="1"/>
  <c r="I638" i="1"/>
  <c r="I615" i="1"/>
  <c r="K639" i="1"/>
  <c r="K640" i="1" s="1"/>
  <c r="K609" i="1"/>
  <c r="K610" i="1" s="1"/>
  <c r="K423" i="1"/>
  <c r="K424" i="1" s="1"/>
  <c r="I476" i="1"/>
  <c r="I448" i="1"/>
  <c r="I462" i="1" l="1"/>
  <c r="I466" i="1" s="1"/>
  <c r="I1009" i="1"/>
  <c r="I868" i="1"/>
  <c r="I1029" i="1"/>
  <c r="I1101" i="1"/>
  <c r="I497" i="1"/>
  <c r="I457" i="1"/>
  <c r="I474" i="1" l="1"/>
  <c r="F438" i="1"/>
  <c r="H438" i="1"/>
  <c r="I438" i="1" l="1"/>
  <c r="H435" i="1"/>
  <c r="I435" i="1" s="1"/>
  <c r="H440" i="1"/>
  <c r="I440" i="1" s="1"/>
  <c r="H441" i="1"/>
  <c r="I441" i="1" s="1"/>
  <c r="K395" i="1"/>
  <c r="F429" i="1"/>
  <c r="I429" i="1" s="1"/>
  <c r="H398" i="1"/>
  <c r="F398" i="1"/>
  <c r="H395" i="1"/>
  <c r="I395" i="1" s="1"/>
  <c r="H393" i="1"/>
  <c r="I393" i="1" s="1"/>
  <c r="H392" i="1"/>
  <c r="I392" i="1" s="1"/>
  <c r="H391" i="1"/>
  <c r="I391" i="1" s="1"/>
  <c r="H390" i="1"/>
  <c r="I390" i="1" s="1"/>
  <c r="K389" i="1"/>
  <c r="H389" i="1"/>
  <c r="I389" i="1" s="1"/>
  <c r="H387" i="1"/>
  <c r="I387" i="1" s="1"/>
  <c r="K386" i="1"/>
  <c r="H386" i="1"/>
  <c r="I386" i="1" s="1"/>
  <c r="K385" i="1"/>
  <c r="H385" i="1"/>
  <c r="I385" i="1" s="1"/>
  <c r="H384" i="1"/>
  <c r="I384" i="1" s="1"/>
  <c r="H383" i="1"/>
  <c r="I383" i="1" s="1"/>
  <c r="F379" i="1"/>
  <c r="I379" i="1" s="1"/>
  <c r="H378" i="1"/>
  <c r="I378" i="1" s="1"/>
  <c r="H376" i="1"/>
  <c r="I376" i="1" s="1"/>
  <c r="H375" i="1"/>
  <c r="I375" i="1" s="1"/>
  <c r="H374" i="1"/>
  <c r="I374" i="1" s="1"/>
  <c r="H368" i="1"/>
  <c r="F368" i="1"/>
  <c r="I367" i="1"/>
  <c r="I366" i="1"/>
  <c r="H365" i="1"/>
  <c r="I365" i="1" s="1"/>
  <c r="I364" i="1"/>
  <c r="H363" i="1"/>
  <c r="I363" i="1" s="1"/>
  <c r="H362" i="1"/>
  <c r="I362" i="1" s="1"/>
  <c r="H361" i="1"/>
  <c r="I361" i="1" s="1"/>
  <c r="H360" i="1"/>
  <c r="I360" i="1" s="1"/>
  <c r="K359" i="1"/>
  <c r="H359" i="1"/>
  <c r="I359" i="1" s="1"/>
  <c r="H357" i="1"/>
  <c r="I357" i="1" s="1"/>
  <c r="K356" i="1"/>
  <c r="H356" i="1"/>
  <c r="I356" i="1" s="1"/>
  <c r="K355" i="1"/>
  <c r="H355" i="1"/>
  <c r="I355" i="1" s="1"/>
  <c r="H354" i="1"/>
  <c r="I354" i="1" s="1"/>
  <c r="H353" i="1"/>
  <c r="I353" i="1" s="1"/>
  <c r="F349" i="1"/>
  <c r="I349" i="1" s="1"/>
  <c r="H348" i="1"/>
  <c r="I348" i="1" s="1"/>
  <c r="I347" i="1"/>
  <c r="H346" i="1"/>
  <c r="I346" i="1" s="1"/>
  <c r="H345" i="1"/>
  <c r="I345" i="1" s="1"/>
  <c r="H344" i="1"/>
  <c r="I344" i="1" s="1"/>
  <c r="I343" i="1"/>
  <c r="H338" i="1"/>
  <c r="F338" i="1"/>
  <c r="H335" i="1"/>
  <c r="I335" i="1" s="1"/>
  <c r="H333" i="1"/>
  <c r="I333" i="1" s="1"/>
  <c r="H332" i="1"/>
  <c r="I332" i="1" s="1"/>
  <c r="H331" i="1"/>
  <c r="I331" i="1" s="1"/>
  <c r="H330" i="1"/>
  <c r="I330" i="1" s="1"/>
  <c r="K329" i="1"/>
  <c r="H329" i="1"/>
  <c r="I329" i="1" s="1"/>
  <c r="H327" i="1"/>
  <c r="I327" i="1" s="1"/>
  <c r="K326" i="1"/>
  <c r="H326" i="1"/>
  <c r="I326" i="1" s="1"/>
  <c r="K325" i="1"/>
  <c r="H325" i="1"/>
  <c r="I325" i="1" s="1"/>
  <c r="H324" i="1"/>
  <c r="I324" i="1" s="1"/>
  <c r="H323" i="1"/>
  <c r="I323" i="1" s="1"/>
  <c r="F319" i="1"/>
  <c r="I319" i="1" s="1"/>
  <c r="H318" i="1"/>
  <c r="I318" i="1" s="1"/>
  <c r="H316" i="1"/>
  <c r="I316" i="1" s="1"/>
  <c r="H315" i="1"/>
  <c r="I315" i="1" s="1"/>
  <c r="H314" i="1"/>
  <c r="I314" i="1" s="1"/>
  <c r="H308" i="1"/>
  <c r="F308" i="1"/>
  <c r="I305" i="1"/>
  <c r="H303" i="1"/>
  <c r="I303" i="1" s="1"/>
  <c r="H302" i="1"/>
  <c r="I302" i="1" s="1"/>
  <c r="H301" i="1"/>
  <c r="I301" i="1" s="1"/>
  <c r="H300" i="1"/>
  <c r="I300" i="1" s="1"/>
  <c r="K299" i="1"/>
  <c r="H299" i="1"/>
  <c r="I299" i="1" s="1"/>
  <c r="H297" i="1"/>
  <c r="I297" i="1" s="1"/>
  <c r="K296" i="1"/>
  <c r="H296" i="1"/>
  <c r="I296" i="1" s="1"/>
  <c r="K295" i="1"/>
  <c r="H295" i="1"/>
  <c r="I295" i="1" s="1"/>
  <c r="H294" i="1"/>
  <c r="I294" i="1" s="1"/>
  <c r="H293" i="1"/>
  <c r="I293" i="1" s="1"/>
  <c r="F289" i="1"/>
  <c r="I289" i="1" s="1"/>
  <c r="H288" i="1"/>
  <c r="I288" i="1" s="1"/>
  <c r="H286" i="1"/>
  <c r="I286" i="1" s="1"/>
  <c r="H285" i="1"/>
  <c r="I285" i="1" s="1"/>
  <c r="H284" i="1"/>
  <c r="I284" i="1" s="1"/>
  <c r="H278" i="1"/>
  <c r="F278" i="1"/>
  <c r="H275" i="1"/>
  <c r="I275" i="1" s="1"/>
  <c r="H273" i="1"/>
  <c r="I273" i="1" s="1"/>
  <c r="H272" i="1"/>
  <c r="I272" i="1" s="1"/>
  <c r="H271" i="1"/>
  <c r="I271" i="1" s="1"/>
  <c r="H270" i="1"/>
  <c r="I270" i="1" s="1"/>
  <c r="K269" i="1"/>
  <c r="H269" i="1"/>
  <c r="I269" i="1" s="1"/>
  <c r="H267" i="1"/>
  <c r="I267" i="1" s="1"/>
  <c r="K266" i="1"/>
  <c r="H266" i="1"/>
  <c r="I266" i="1" s="1"/>
  <c r="K265" i="1"/>
  <c r="H265" i="1"/>
  <c r="I265" i="1" s="1"/>
  <c r="H264" i="1"/>
  <c r="I264" i="1" s="1"/>
  <c r="H263" i="1"/>
  <c r="I263" i="1" s="1"/>
  <c r="F259" i="1"/>
  <c r="I259" i="1" s="1"/>
  <c r="H258" i="1"/>
  <c r="I258" i="1" s="1"/>
  <c r="H256" i="1"/>
  <c r="I256" i="1" s="1"/>
  <c r="H255" i="1"/>
  <c r="I255" i="1" s="1"/>
  <c r="H254" i="1"/>
  <c r="I254" i="1" s="1"/>
  <c r="F248" i="1"/>
  <c r="F229" i="1"/>
  <c r="I229" i="1" s="1"/>
  <c r="F199" i="1"/>
  <c r="I199" i="1" s="1"/>
  <c r="H248" i="1"/>
  <c r="H245" i="1"/>
  <c r="I245" i="1" s="1"/>
  <c r="H243" i="1"/>
  <c r="I243" i="1" s="1"/>
  <c r="H242" i="1"/>
  <c r="I242" i="1" s="1"/>
  <c r="H241" i="1"/>
  <c r="I241" i="1" s="1"/>
  <c r="H240" i="1"/>
  <c r="I240" i="1" s="1"/>
  <c r="K239" i="1"/>
  <c r="H239" i="1"/>
  <c r="I239" i="1" s="1"/>
  <c r="H237" i="1"/>
  <c r="I237" i="1" s="1"/>
  <c r="K236" i="1"/>
  <c r="H236" i="1"/>
  <c r="I236" i="1" s="1"/>
  <c r="K235" i="1"/>
  <c r="H235" i="1"/>
  <c r="I235" i="1" s="1"/>
  <c r="H234" i="1"/>
  <c r="I234" i="1" s="1"/>
  <c r="H233" i="1"/>
  <c r="I233" i="1" s="1"/>
  <c r="H228" i="1"/>
  <c r="I228" i="1" s="1"/>
  <c r="H226" i="1"/>
  <c r="I226" i="1" s="1"/>
  <c r="H225" i="1"/>
  <c r="I225" i="1" s="1"/>
  <c r="H224" i="1"/>
  <c r="I224" i="1" s="1"/>
  <c r="H203" i="1"/>
  <c r="I203" i="1" s="1"/>
  <c r="I398" i="1" l="1"/>
  <c r="H439" i="1"/>
  <c r="I439" i="1" s="1"/>
  <c r="H951" i="1"/>
  <c r="I951" i="1" s="1"/>
  <c r="I278" i="1"/>
  <c r="I308" i="1"/>
  <c r="I338" i="1"/>
  <c r="I248" i="1"/>
  <c r="K362" i="1"/>
  <c r="K363" i="1" s="1"/>
  <c r="I368" i="1"/>
  <c r="K392" i="1"/>
  <c r="K393" i="1" s="1"/>
  <c r="K332" i="1"/>
  <c r="K333" i="1" s="1"/>
  <c r="K302" i="1"/>
  <c r="K303" i="1" s="1"/>
  <c r="K272" i="1"/>
  <c r="K273" i="1" s="1"/>
  <c r="K242" i="1"/>
  <c r="K243" i="1" s="1"/>
  <c r="H949" i="1" l="1"/>
  <c r="I949" i="1" s="1"/>
  <c r="I958" i="1" s="1"/>
  <c r="H437" i="1"/>
  <c r="I437" i="1" l="1"/>
  <c r="H206" i="1"/>
  <c r="I206" i="1" s="1"/>
  <c r="H204" i="1"/>
  <c r="I204" i="1" s="1"/>
  <c r="H218" i="1"/>
  <c r="F218" i="1"/>
  <c r="H212" i="1"/>
  <c r="I212" i="1" s="1"/>
  <c r="H213" i="1"/>
  <c r="I213" i="1" s="1"/>
  <c r="I445" i="1" l="1"/>
  <c r="I218" i="1"/>
  <c r="H198" i="1"/>
  <c r="I198" i="1" s="1"/>
  <c r="K209" i="1"/>
  <c r="H215" i="1"/>
  <c r="I215" i="1" s="1"/>
  <c r="H211" i="1"/>
  <c r="I211" i="1" s="1"/>
  <c r="H210" i="1"/>
  <c r="I210" i="1" s="1"/>
  <c r="H209" i="1"/>
  <c r="I209" i="1" s="1"/>
  <c r="H207" i="1"/>
  <c r="I207" i="1" s="1"/>
  <c r="K206" i="1"/>
  <c r="K205" i="1"/>
  <c r="H205" i="1"/>
  <c r="I205" i="1" s="1"/>
  <c r="H196" i="1"/>
  <c r="I196" i="1" s="1"/>
  <c r="H195" i="1"/>
  <c r="I195" i="1" s="1"/>
  <c r="H194" i="1"/>
  <c r="I194" i="1" s="1"/>
  <c r="K184" i="1"/>
  <c r="H187" i="1"/>
  <c r="I187" i="1" s="1"/>
  <c r="H186" i="1"/>
  <c r="F186" i="1"/>
  <c r="H185" i="1"/>
  <c r="I185" i="1" s="1"/>
  <c r="H184" i="1"/>
  <c r="I184" i="1" s="1"/>
  <c r="H182" i="1"/>
  <c r="I182" i="1" s="1"/>
  <c r="K181" i="1"/>
  <c r="H181" i="1"/>
  <c r="I181" i="1" s="1"/>
  <c r="K180" i="1"/>
  <c r="H180" i="1"/>
  <c r="I180" i="1" s="1"/>
  <c r="H174" i="1"/>
  <c r="I174" i="1" s="1"/>
  <c r="H172" i="1"/>
  <c r="I172" i="1" s="1"/>
  <c r="H171" i="1"/>
  <c r="I171" i="1" s="1"/>
  <c r="K145" i="1"/>
  <c r="K164" i="1"/>
  <c r="I186" i="1" l="1"/>
  <c r="K212" i="1"/>
  <c r="K213" i="1" s="1"/>
  <c r="I163" i="1"/>
  <c r="H162" i="1"/>
  <c r="H161" i="1"/>
  <c r="F161" i="1"/>
  <c r="H160" i="1"/>
  <c r="I160" i="1" s="1"/>
  <c r="H159" i="1"/>
  <c r="I159" i="1" s="1"/>
  <c r="H157" i="1"/>
  <c r="I157" i="1" s="1"/>
  <c r="K156" i="1"/>
  <c r="H156" i="1"/>
  <c r="I156" i="1" s="1"/>
  <c r="K155" i="1"/>
  <c r="H155" i="1"/>
  <c r="I155" i="1" s="1"/>
  <c r="H149" i="1"/>
  <c r="I149" i="1" s="1"/>
  <c r="I148" i="1"/>
  <c r="H147" i="1"/>
  <c r="I147" i="1" s="1"/>
  <c r="H146" i="1"/>
  <c r="F133" i="1"/>
  <c r="F129" i="1"/>
  <c r="H139" i="1"/>
  <c r="I139" i="1" s="1"/>
  <c r="H140" i="1"/>
  <c r="I140" i="1" s="1"/>
  <c r="H141" i="1"/>
  <c r="I141" i="1" s="1"/>
  <c r="H137" i="1"/>
  <c r="I137" i="1" s="1"/>
  <c r="H133" i="1"/>
  <c r="H132" i="1"/>
  <c r="I132" i="1" s="1"/>
  <c r="H131" i="1"/>
  <c r="I131" i="1" s="1"/>
  <c r="K130" i="1"/>
  <c r="H130" i="1"/>
  <c r="I130" i="1" s="1"/>
  <c r="H126" i="1"/>
  <c r="I126" i="1" s="1"/>
  <c r="H117" i="1"/>
  <c r="I117" i="1" s="1"/>
  <c r="H118" i="1"/>
  <c r="I118" i="1" s="1"/>
  <c r="H116" i="1"/>
  <c r="I116" i="1" s="1"/>
  <c r="K128" i="1"/>
  <c r="K127" i="1"/>
  <c r="K129" i="1"/>
  <c r="K115" i="1"/>
  <c r="H138" i="1"/>
  <c r="I138" i="1" s="1"/>
  <c r="H136" i="1"/>
  <c r="I136" i="1" s="1"/>
  <c r="H135" i="1"/>
  <c r="I135" i="1" s="1"/>
  <c r="H129" i="1"/>
  <c r="H127" i="1"/>
  <c r="I127" i="1" s="1"/>
  <c r="K125" i="1"/>
  <c r="H125" i="1"/>
  <c r="I125" i="1" s="1"/>
  <c r="K124" i="1"/>
  <c r="H124" i="1"/>
  <c r="I124" i="1" s="1"/>
  <c r="H115" i="1"/>
  <c r="I115" i="1" s="1"/>
  <c r="H113" i="1"/>
  <c r="I113" i="1" s="1"/>
  <c r="H111" i="1"/>
  <c r="I111" i="1" s="1"/>
  <c r="H108" i="1"/>
  <c r="I108" i="1" s="1"/>
  <c r="I107" i="1"/>
  <c r="I129" i="1" l="1"/>
  <c r="I133" i="1"/>
  <c r="I146" i="1"/>
  <c r="I161" i="1"/>
  <c r="I162" i="1"/>
  <c r="F101" i="1"/>
  <c r="H86" i="1"/>
  <c r="F86" i="1"/>
  <c r="K89" i="1"/>
  <c r="K88" i="1"/>
  <c r="H103" i="1"/>
  <c r="F103" i="1"/>
  <c r="H102" i="1"/>
  <c r="I102" i="1" s="1"/>
  <c r="H101" i="1"/>
  <c r="H99" i="1"/>
  <c r="I99" i="1" s="1"/>
  <c r="K98" i="1"/>
  <c r="H98" i="1"/>
  <c r="I98" i="1" s="1"/>
  <c r="K97" i="1"/>
  <c r="H97" i="1"/>
  <c r="I97" i="1" s="1"/>
  <c r="H91" i="1"/>
  <c r="I91" i="1" s="1"/>
  <c r="H89" i="1"/>
  <c r="I89" i="1" s="1"/>
  <c r="H88" i="1"/>
  <c r="I88" i="1" s="1"/>
  <c r="I101" i="1" l="1"/>
  <c r="I103" i="1"/>
  <c r="I86" i="1"/>
  <c r="F82" i="1"/>
  <c r="I82" i="1" s="1"/>
  <c r="F81" i="1"/>
  <c r="H81" i="1"/>
  <c r="H80" i="1"/>
  <c r="F80" i="1"/>
  <c r="H79" i="1"/>
  <c r="I79" i="1" s="1"/>
  <c r="H78" i="1"/>
  <c r="I78" i="1" s="1"/>
  <c r="H76" i="1"/>
  <c r="I76" i="1" s="1"/>
  <c r="H75" i="1"/>
  <c r="I75" i="1" s="1"/>
  <c r="H74" i="1"/>
  <c r="I74" i="1" s="1"/>
  <c r="H68" i="1"/>
  <c r="I68" i="1" s="1"/>
  <c r="H66" i="1"/>
  <c r="I66" i="1" s="1"/>
  <c r="H65" i="1"/>
  <c r="I65" i="1" s="1"/>
  <c r="F55" i="1"/>
  <c r="K44" i="1"/>
  <c r="K43" i="1"/>
  <c r="H31" i="1"/>
  <c r="F31" i="1"/>
  <c r="H59" i="1"/>
  <c r="I59" i="1" s="1"/>
  <c r="H58" i="1"/>
  <c r="I58" i="1" s="1"/>
  <c r="H57" i="1"/>
  <c r="I57" i="1" s="1"/>
  <c r="H55" i="1"/>
  <c r="I55" i="1" s="1"/>
  <c r="H53" i="1"/>
  <c r="I53" i="1" s="1"/>
  <c r="H54" i="1"/>
  <c r="I54" i="1" s="1"/>
  <c r="H52" i="1"/>
  <c r="I52" i="1" s="1"/>
  <c r="F52" i="1"/>
  <c r="H51" i="1"/>
  <c r="I51" i="1" s="1"/>
  <c r="H49" i="1"/>
  <c r="I49" i="1" s="1"/>
  <c r="H48" i="1"/>
  <c r="I48" i="1" s="1"/>
  <c r="H47" i="1"/>
  <c r="I47" i="1" s="1"/>
  <c r="H45" i="1"/>
  <c r="I45" i="1" s="1"/>
  <c r="H39" i="1"/>
  <c r="I39" i="1" s="1"/>
  <c r="H44" i="1"/>
  <c r="I44" i="1" s="1"/>
  <c r="H43" i="1"/>
  <c r="I43" i="1" s="1"/>
  <c r="H26" i="1"/>
  <c r="I26" i="1" s="1"/>
  <c r="H36" i="1"/>
  <c r="I36" i="1" s="1"/>
  <c r="F32" i="1"/>
  <c r="H30" i="1"/>
  <c r="I30" i="1" s="1"/>
  <c r="H32" i="1"/>
  <c r="I32" i="1" s="1"/>
  <c r="H33" i="1"/>
  <c r="I33" i="1" s="1"/>
  <c r="I1239" i="1"/>
  <c r="I1240" i="1" s="1"/>
  <c r="I31" i="1" l="1"/>
  <c r="I81" i="1"/>
  <c r="I80" i="1"/>
  <c r="H298" i="1" l="1"/>
  <c r="I298" i="1" s="1"/>
  <c r="H100" i="1"/>
  <c r="I100" i="1" s="1"/>
  <c r="I105" i="1" s="1"/>
  <c r="H128" i="1"/>
  <c r="I128" i="1" s="1"/>
  <c r="I142" i="1" s="1"/>
  <c r="H546" i="1"/>
  <c r="I546" i="1" s="1"/>
  <c r="I551" i="1" s="1"/>
  <c r="H527" i="1"/>
  <c r="I527" i="1" s="1"/>
  <c r="I531" i="1" s="1"/>
  <c r="H1073" i="1"/>
  <c r="I1073" i="1" s="1"/>
  <c r="I1077" i="1" s="1"/>
  <c r="I1112" i="1" s="1"/>
  <c r="H1042" i="1"/>
  <c r="I1042" i="1" s="1"/>
  <c r="I1047" i="1" s="1"/>
  <c r="I1052" i="1" s="1"/>
  <c r="H908" i="1"/>
  <c r="I908" i="1" s="1"/>
  <c r="H812" i="1"/>
  <c r="I812" i="1" s="1"/>
  <c r="I829" i="1" s="1"/>
  <c r="H772" i="1"/>
  <c r="I772" i="1" s="1"/>
  <c r="I788" i="1" s="1"/>
  <c r="H740" i="1"/>
  <c r="I740" i="1" s="1"/>
  <c r="H715" i="1"/>
  <c r="I715" i="1" s="1"/>
  <c r="I723" i="1" s="1"/>
  <c r="H681" i="1"/>
  <c r="I681" i="1" s="1"/>
  <c r="I685" i="1" s="1"/>
  <c r="H328" i="1"/>
  <c r="I328" i="1" s="1"/>
  <c r="H46" i="1"/>
  <c r="I46" i="1" s="1"/>
  <c r="H268" i="1"/>
  <c r="I268" i="1" s="1"/>
  <c r="H158" i="1"/>
  <c r="I158" i="1" s="1"/>
  <c r="H208" i="1"/>
  <c r="I208" i="1" s="1"/>
  <c r="H183" i="1"/>
  <c r="I183" i="1" s="1"/>
  <c r="H77" i="1"/>
  <c r="I77" i="1" s="1"/>
  <c r="H388" i="1"/>
  <c r="I388" i="1" s="1"/>
  <c r="H358" i="1"/>
  <c r="I358" i="1" s="1"/>
  <c r="H238" i="1"/>
  <c r="I238" i="1" s="1"/>
  <c r="H920" i="1"/>
  <c r="I920" i="1" s="1"/>
  <c r="H746" i="1"/>
  <c r="I746" i="1" s="1"/>
  <c r="H430" i="1"/>
  <c r="I430" i="1" s="1"/>
  <c r="H646" i="1"/>
  <c r="I646" i="1" s="1"/>
  <c r="H616" i="1"/>
  <c r="I616" i="1" s="1"/>
  <c r="H605" i="1"/>
  <c r="H635" i="1"/>
  <c r="I635" i="1" s="1"/>
  <c r="H419" i="1"/>
  <c r="I419" i="1" s="1"/>
  <c r="H309" i="1"/>
  <c r="H279" i="1"/>
  <c r="H249" i="1"/>
  <c r="H399" i="1"/>
  <c r="H369" i="1"/>
  <c r="I369" i="1" s="1"/>
  <c r="H339" i="1"/>
  <c r="H219" i="1"/>
  <c r="H189" i="1"/>
  <c r="H164" i="1"/>
  <c r="I164" i="1" s="1"/>
  <c r="H60" i="1"/>
  <c r="I60" i="1" s="1"/>
  <c r="H83" i="1"/>
  <c r="D1209" i="1"/>
  <c r="H1144" i="1"/>
  <c r="I1144" i="1" s="1"/>
  <c r="F1227" i="1"/>
  <c r="H1227" i="1"/>
  <c r="I647" i="1" l="1"/>
  <c r="I921" i="1"/>
  <c r="I747" i="1"/>
  <c r="I431" i="1"/>
  <c r="I370" i="1"/>
  <c r="I61" i="1"/>
  <c r="K1111" i="1"/>
  <c r="K1101" i="1"/>
  <c r="C24" i="2"/>
  <c r="K1091" i="1"/>
  <c r="K1068" i="1"/>
  <c r="K1085" i="1"/>
  <c r="K1077" i="1"/>
  <c r="K1065" i="1"/>
  <c r="K1029" i="1"/>
  <c r="C23" i="2"/>
  <c r="K1019" i="1"/>
  <c r="K991" i="1"/>
  <c r="K968" i="1"/>
  <c r="K958" i="1"/>
  <c r="K1051" i="1"/>
  <c r="K1047" i="1"/>
  <c r="K1037" i="1"/>
  <c r="K1009" i="1"/>
  <c r="I1227" i="1"/>
  <c r="I605" i="1"/>
  <c r="I617" i="1" s="1"/>
  <c r="I279" i="1"/>
  <c r="I280" i="1" s="1"/>
  <c r="I309" i="1"/>
  <c r="I310" i="1" s="1"/>
  <c r="I339" i="1"/>
  <c r="I340" i="1" s="1"/>
  <c r="I399" i="1"/>
  <c r="I400" i="1" s="1"/>
  <c r="I249" i="1"/>
  <c r="I250" i="1" s="1"/>
  <c r="I219" i="1"/>
  <c r="I220" i="1" s="1"/>
  <c r="I189" i="1"/>
  <c r="I190" i="1" s="1"/>
  <c r="I83" i="1"/>
  <c r="I84" i="1" s="1"/>
  <c r="H1234" i="1"/>
  <c r="I1234" i="1" s="1"/>
  <c r="H1233" i="1"/>
  <c r="I1233" i="1" s="1"/>
  <c r="H1232" i="1"/>
  <c r="I1232" i="1" s="1"/>
  <c r="H1231" i="1"/>
  <c r="I1231" i="1" s="1"/>
  <c r="H1230" i="1"/>
  <c r="I1230" i="1" s="1"/>
  <c r="H1229" i="1"/>
  <c r="I1229" i="1" s="1"/>
  <c r="H1228" i="1"/>
  <c r="I1228" i="1" s="1"/>
  <c r="H1226" i="1"/>
  <c r="I1226" i="1" s="1"/>
  <c r="H1225" i="1"/>
  <c r="I1225" i="1" s="1"/>
  <c r="H1143" i="1"/>
  <c r="I1143" i="1" s="1"/>
  <c r="I1147" i="1" s="1"/>
  <c r="V24" i="2" l="1"/>
  <c r="AB24" i="2"/>
  <c r="L24" i="2"/>
  <c r="AF24" i="2"/>
  <c r="J24" i="2"/>
  <c r="AH24" i="2"/>
  <c r="R24" i="2"/>
  <c r="X24" i="2"/>
  <c r="H24" i="2"/>
  <c r="AD24" i="2"/>
  <c r="N24" i="2"/>
  <c r="T24" i="2"/>
  <c r="P24" i="2"/>
  <c r="Z24" i="2"/>
  <c r="F24" i="2"/>
  <c r="AF23" i="2"/>
  <c r="X23" i="2"/>
  <c r="P23" i="2"/>
  <c r="J23" i="2"/>
  <c r="AH23" i="2"/>
  <c r="F23" i="2"/>
  <c r="AD23" i="2"/>
  <c r="V23" i="2"/>
  <c r="N23" i="2"/>
  <c r="Z23" i="2"/>
  <c r="H23" i="2"/>
  <c r="R23" i="2"/>
  <c r="AB23" i="2"/>
  <c r="T23" i="2"/>
  <c r="L23" i="2"/>
  <c r="I1235" i="1"/>
  <c r="H1149" i="1"/>
  <c r="I1149" i="1" s="1"/>
  <c r="I1150" i="1" s="1"/>
  <c r="I1151" i="1" l="1"/>
  <c r="H1222" i="1" l="1"/>
  <c r="I1222" i="1" s="1"/>
  <c r="H1221" i="1"/>
  <c r="I1221" i="1" s="1"/>
  <c r="H1220" i="1"/>
  <c r="I1220" i="1" s="1"/>
  <c r="H1219" i="1"/>
  <c r="I1219" i="1" s="1"/>
  <c r="H1218" i="1"/>
  <c r="I1218" i="1" s="1"/>
  <c r="H1217" i="1"/>
  <c r="I1217" i="1" s="1"/>
  <c r="H1216" i="1"/>
  <c r="I1216" i="1" s="1"/>
  <c r="H1215" i="1"/>
  <c r="I1215" i="1" s="1"/>
  <c r="H1212" i="1"/>
  <c r="I1212" i="1" s="1"/>
  <c r="I1213" i="1" s="1"/>
  <c r="H1208" i="1"/>
  <c r="I1208" i="1" s="1"/>
  <c r="H1207" i="1"/>
  <c r="I1207" i="1" s="1"/>
  <c r="H1206" i="1"/>
  <c r="I1206" i="1" s="1"/>
  <c r="H1205" i="1"/>
  <c r="I1205" i="1" s="1"/>
  <c r="I1203" i="1"/>
  <c r="C1209" i="1"/>
  <c r="H1200" i="1"/>
  <c r="I1200" i="1" s="1"/>
  <c r="H1199" i="1"/>
  <c r="I1199" i="1" s="1"/>
  <c r="H1198" i="1"/>
  <c r="H1197" i="1"/>
  <c r="F1198" i="1"/>
  <c r="F1197" i="1"/>
  <c r="C1192" i="1"/>
  <c r="D1192" i="1"/>
  <c r="H1194" i="1"/>
  <c r="I1194" i="1" s="1"/>
  <c r="H1193" i="1"/>
  <c r="I1193" i="1" s="1"/>
  <c r="F1192" i="1"/>
  <c r="H1162" i="1"/>
  <c r="I1162" i="1" s="1"/>
  <c r="H1161" i="1"/>
  <c r="I1161" i="1" s="1"/>
  <c r="H1160" i="1"/>
  <c r="I1160" i="1" s="1"/>
  <c r="H1159" i="1"/>
  <c r="I1159" i="1" s="1"/>
  <c r="H1158" i="1"/>
  <c r="I1158" i="1" s="1"/>
  <c r="H1155" i="1"/>
  <c r="I1155" i="1" s="1"/>
  <c r="H1154" i="1"/>
  <c r="I1154" i="1" s="1"/>
  <c r="H1188" i="1"/>
  <c r="I1188" i="1" s="1"/>
  <c r="H1187" i="1"/>
  <c r="I1187" i="1" s="1"/>
  <c r="H1186" i="1"/>
  <c r="I1186" i="1" s="1"/>
  <c r="H1185" i="1"/>
  <c r="I1185" i="1" s="1"/>
  <c r="H1184" i="1"/>
  <c r="I1184" i="1" s="1"/>
  <c r="H1183" i="1"/>
  <c r="I1183" i="1" s="1"/>
  <c r="H1182" i="1"/>
  <c r="I1182" i="1" s="1"/>
  <c r="H1181" i="1"/>
  <c r="I1181" i="1" s="1"/>
  <c r="H1180" i="1"/>
  <c r="I1180" i="1" s="1"/>
  <c r="H1179" i="1"/>
  <c r="I1179" i="1" s="1"/>
  <c r="H1178" i="1"/>
  <c r="I1178" i="1" s="1"/>
  <c r="H1177" i="1"/>
  <c r="I1177" i="1" s="1"/>
  <c r="H1176" i="1"/>
  <c r="I1176" i="1" s="1"/>
  <c r="H1175" i="1"/>
  <c r="I1175" i="1" s="1"/>
  <c r="H1174" i="1"/>
  <c r="I1174" i="1" s="1"/>
  <c r="H1173" i="1"/>
  <c r="I1173" i="1" s="1"/>
  <c r="H1172" i="1"/>
  <c r="I1172" i="1" s="1"/>
  <c r="H1171" i="1"/>
  <c r="I1171" i="1" s="1"/>
  <c r="H1170" i="1"/>
  <c r="I1170" i="1" s="1"/>
  <c r="H1169" i="1"/>
  <c r="I1169" i="1" s="1"/>
  <c r="H1168" i="1"/>
  <c r="I1168" i="1" s="1"/>
  <c r="H1167" i="1"/>
  <c r="I1167" i="1" s="1"/>
  <c r="H1166" i="1"/>
  <c r="I1166" i="1" s="1"/>
  <c r="H1165" i="1"/>
  <c r="I1165" i="1" s="1"/>
  <c r="I1198" i="1" l="1"/>
  <c r="I1156" i="1"/>
  <c r="I1189" i="1"/>
  <c r="I1223" i="1"/>
  <c r="I1163" i="1"/>
  <c r="I1197" i="1"/>
  <c r="I1190" i="1" l="1"/>
  <c r="I1201" i="1"/>
  <c r="H1209" i="1"/>
  <c r="I1209" i="1" l="1"/>
  <c r="F1330" i="1"/>
  <c r="F1261" i="1"/>
  <c r="I1261" i="1" s="1"/>
  <c r="F1260" i="1"/>
  <c r="I1260" i="1" s="1"/>
  <c r="C1380" i="1"/>
  <c r="D1380" i="1"/>
  <c r="D1372" i="1"/>
  <c r="C1372" i="1"/>
  <c r="D1364" i="1"/>
  <c r="C1364" i="1"/>
  <c r="H1394" i="1"/>
  <c r="I1394" i="1" s="1"/>
  <c r="H1399" i="1"/>
  <c r="I1399" i="1" s="1"/>
  <c r="H1398" i="1"/>
  <c r="I1398" i="1" s="1"/>
  <c r="H1397" i="1"/>
  <c r="I1397" i="1" s="1"/>
  <c r="H1396" i="1"/>
  <c r="I1396" i="1" s="1"/>
  <c r="H1395" i="1"/>
  <c r="I1395" i="1" s="1"/>
  <c r="H1393" i="1"/>
  <c r="I1393" i="1" s="1"/>
  <c r="H1392" i="1"/>
  <c r="I1392" i="1" s="1"/>
  <c r="H1256" i="1"/>
  <c r="I1256" i="1" s="1"/>
  <c r="H1388" i="1"/>
  <c r="F1388" i="1"/>
  <c r="H1385" i="1"/>
  <c r="F1385" i="1"/>
  <c r="F1386" i="1" s="1"/>
  <c r="F1380" i="1"/>
  <c r="H1379" i="1"/>
  <c r="H1378" i="1"/>
  <c r="H1377" i="1"/>
  <c r="F1377" i="1"/>
  <c r="F1378" i="1" s="1"/>
  <c r="F1372" i="1"/>
  <c r="H1371" i="1"/>
  <c r="H1370" i="1"/>
  <c r="H1369" i="1"/>
  <c r="F1369" i="1"/>
  <c r="F1370" i="1" s="1"/>
  <c r="F1368" i="1"/>
  <c r="I1368" i="1" s="1"/>
  <c r="F1364" i="1"/>
  <c r="H1363" i="1"/>
  <c r="H1362" i="1"/>
  <c r="F1362" i="1"/>
  <c r="H1361" i="1"/>
  <c r="I1361" i="1" s="1"/>
  <c r="H1360" i="1"/>
  <c r="H1359" i="1"/>
  <c r="H1358" i="1"/>
  <c r="H1357" i="1"/>
  <c r="I1357" i="1" s="1"/>
  <c r="H1356" i="1"/>
  <c r="F1356" i="1"/>
  <c r="H1355" i="1"/>
  <c r="F1355" i="1"/>
  <c r="H1332" i="1"/>
  <c r="F1332" i="1"/>
  <c r="H1331" i="1"/>
  <c r="I1331" i="1" s="1"/>
  <c r="H1330" i="1"/>
  <c r="H1325" i="1"/>
  <c r="F1325" i="1"/>
  <c r="H1323" i="1"/>
  <c r="F1323" i="1"/>
  <c r="H1322" i="1"/>
  <c r="H1319" i="1"/>
  <c r="F1319" i="1"/>
  <c r="F1320" i="1" s="1"/>
  <c r="I1320" i="1" s="1"/>
  <c r="I1316" i="1"/>
  <c r="H1312" i="1"/>
  <c r="F1312" i="1"/>
  <c r="F1311" i="1"/>
  <c r="I1311" i="1" s="1"/>
  <c r="F1310" i="1"/>
  <c r="I1310" i="1" s="1"/>
  <c r="H1309" i="1"/>
  <c r="F1309" i="1"/>
  <c r="H1305" i="1"/>
  <c r="I1305" i="1" s="1"/>
  <c r="H1304" i="1"/>
  <c r="I1304" i="1" s="1"/>
  <c r="H1303" i="1"/>
  <c r="I1303" i="1" s="1"/>
  <c r="H1302" i="1"/>
  <c r="I1302" i="1" s="1"/>
  <c r="H1301" i="1"/>
  <c r="F1301" i="1"/>
  <c r="H1300" i="1"/>
  <c r="F1300" i="1"/>
  <c r="H1299" i="1"/>
  <c r="H1298" i="1"/>
  <c r="H1297" i="1"/>
  <c r="I1297" i="1" s="1"/>
  <c r="H1296" i="1"/>
  <c r="I1296" i="1" s="1"/>
  <c r="I1295" i="1"/>
  <c r="H1292" i="1"/>
  <c r="I1292" i="1" s="1"/>
  <c r="H1291" i="1"/>
  <c r="I1291" i="1" s="1"/>
  <c r="H1290" i="1"/>
  <c r="I1290" i="1" s="1"/>
  <c r="H1289" i="1"/>
  <c r="I1289" i="1" s="1"/>
  <c r="H1288" i="1"/>
  <c r="I1288" i="1" s="1"/>
  <c r="H1287" i="1"/>
  <c r="I1287" i="1" s="1"/>
  <c r="H1286" i="1"/>
  <c r="I1286" i="1" s="1"/>
  <c r="H1285" i="1"/>
  <c r="I1285" i="1" s="1"/>
  <c r="H1284" i="1"/>
  <c r="I1284" i="1" s="1"/>
  <c r="H1283" i="1"/>
  <c r="I1283" i="1" s="1"/>
  <c r="H1278" i="1"/>
  <c r="I1278" i="1" s="1"/>
  <c r="I1276" i="1"/>
  <c r="H1273" i="1"/>
  <c r="F1273" i="1"/>
  <c r="H1272" i="1"/>
  <c r="I1272" i="1" s="1"/>
  <c r="F1270" i="1"/>
  <c r="F1268" i="1"/>
  <c r="I1268" i="1" s="1"/>
  <c r="I1267" i="1"/>
  <c r="H1257" i="1"/>
  <c r="I1257" i="1" s="1"/>
  <c r="F1253" i="1"/>
  <c r="I1253" i="1" s="1"/>
  <c r="F1252" i="1"/>
  <c r="I1252" i="1" s="1"/>
  <c r="F1251" i="1"/>
  <c r="I1251" i="1" s="1"/>
  <c r="F1246" i="1"/>
  <c r="I1246" i="1" s="1"/>
  <c r="F1244" i="1"/>
  <c r="F1243" i="1"/>
  <c r="F1247" i="1" s="1"/>
  <c r="I1247" i="1" s="1"/>
  <c r="H21" i="1"/>
  <c r="I1362" i="1" l="1"/>
  <c r="F1387" i="1"/>
  <c r="I1387" i="1" s="1"/>
  <c r="I1386" i="1"/>
  <c r="I1369" i="1"/>
  <c r="I1300" i="1"/>
  <c r="I1301" i="1"/>
  <c r="I1388" i="1"/>
  <c r="I1273" i="1"/>
  <c r="I1319" i="1"/>
  <c r="I1356" i="1"/>
  <c r="I1312" i="1"/>
  <c r="F1250" i="1"/>
  <c r="I1250" i="1" s="1"/>
  <c r="I1244" i="1"/>
  <c r="F1271" i="1"/>
  <c r="I1271" i="1" s="1"/>
  <c r="I1270" i="1"/>
  <c r="I1323" i="1"/>
  <c r="I1332" i="1"/>
  <c r="I1378" i="1"/>
  <c r="I1370" i="1"/>
  <c r="I1325" i="1"/>
  <c r="I1210" i="1"/>
  <c r="I1400" i="1"/>
  <c r="I1258" i="1"/>
  <c r="I1293" i="1"/>
  <c r="I1263" i="1"/>
  <c r="I1355" i="1"/>
  <c r="F1306" i="1"/>
  <c r="I1306" i="1" s="1"/>
  <c r="F1322" i="1"/>
  <c r="I1322" i="1" s="1"/>
  <c r="I1385" i="1"/>
  <c r="I1330" i="1"/>
  <c r="I1334" i="1" s="1"/>
  <c r="F1371" i="1"/>
  <c r="I1371" i="1" s="1"/>
  <c r="F1379" i="1"/>
  <c r="I1379" i="1" s="1"/>
  <c r="F1363" i="1"/>
  <c r="I1363" i="1" s="1"/>
  <c r="I1377" i="1"/>
  <c r="F1360" i="1"/>
  <c r="I1360" i="1" s="1"/>
  <c r="F1299" i="1"/>
  <c r="I1309" i="1"/>
  <c r="I1243" i="1"/>
  <c r="F1248" i="1"/>
  <c r="I1248" i="1" s="1"/>
  <c r="F1249" i="1"/>
  <c r="I1249" i="1" s="1"/>
  <c r="F1245" i="1"/>
  <c r="I1245" i="1" s="1"/>
  <c r="H1352" i="1" l="1"/>
  <c r="I1352" i="1" s="1"/>
  <c r="I1353" i="1" s="1"/>
  <c r="H521" i="1"/>
  <c r="I521" i="1" s="1"/>
  <c r="I522" i="1" s="1"/>
  <c r="I587" i="1" s="1"/>
  <c r="F1298" i="1"/>
  <c r="I1298" i="1" s="1"/>
  <c r="I1299" i="1"/>
  <c r="I1307" i="1" s="1"/>
  <c r="I1274" i="1"/>
  <c r="I1328" i="1"/>
  <c r="I1313" i="1"/>
  <c r="I1254" i="1"/>
  <c r="I1264" i="1" s="1"/>
  <c r="I1373" i="1"/>
  <c r="H1380" i="1"/>
  <c r="I1380" i="1" s="1"/>
  <c r="I1383" i="1" s="1"/>
  <c r="H1372" i="1"/>
  <c r="I1372" i="1" s="1"/>
  <c r="H1364" i="1"/>
  <c r="I1364" i="1" s="1"/>
  <c r="F1358" i="1"/>
  <c r="I1358" i="1" s="1"/>
  <c r="I1314" i="1" l="1"/>
  <c r="F1374" i="1"/>
  <c r="I1374" i="1" s="1"/>
  <c r="F1359" i="1"/>
  <c r="I1359" i="1" s="1"/>
  <c r="I1375" i="1" l="1"/>
  <c r="I1389" i="1"/>
  <c r="I1366" i="1"/>
  <c r="I1390" i="1" l="1"/>
  <c r="I1401" i="1" s="1"/>
  <c r="K1264" i="1" l="1"/>
  <c r="K1400" i="1"/>
  <c r="K1390" i="1"/>
  <c r="C27" i="2"/>
  <c r="K1334" i="1"/>
  <c r="K1328" i="1"/>
  <c r="K1314" i="1"/>
  <c r="K1240" i="1"/>
  <c r="I432" i="1"/>
  <c r="AH27" i="2" l="1"/>
  <c r="Z27" i="2"/>
  <c r="R27" i="2"/>
  <c r="F27" i="2"/>
  <c r="AF27" i="2"/>
  <c r="X27" i="2"/>
  <c r="P27" i="2"/>
  <c r="H27" i="2"/>
  <c r="AD27" i="2"/>
  <c r="V27" i="2"/>
  <c r="N27" i="2"/>
  <c r="J27" i="2"/>
  <c r="AB27" i="2"/>
  <c r="T27" i="2"/>
  <c r="L27" i="2"/>
  <c r="K370" i="1"/>
  <c r="K142" i="1"/>
  <c r="C20" i="2"/>
  <c r="K340" i="1"/>
  <c r="K105" i="1"/>
  <c r="K310" i="1"/>
  <c r="K84" i="1"/>
  <c r="K220" i="1"/>
  <c r="K280" i="1"/>
  <c r="K250" i="1"/>
  <c r="K431" i="1"/>
  <c r="K190" i="1"/>
  <c r="K400" i="1"/>
  <c r="K167" i="1"/>
  <c r="K61" i="1"/>
  <c r="I21" i="1"/>
  <c r="I22" i="1" s="1"/>
  <c r="C19" i="2" s="1"/>
  <c r="AF20" i="2" l="1"/>
  <c r="P20" i="2"/>
  <c r="AH20" i="2"/>
  <c r="R20" i="2"/>
  <c r="T20" i="2"/>
  <c r="F20" i="2"/>
  <c r="V20" i="2"/>
  <c r="J20" i="2"/>
  <c r="X20" i="2"/>
  <c r="H20" i="2"/>
  <c r="Z20" i="2"/>
  <c r="AB20" i="2"/>
  <c r="L20" i="2"/>
  <c r="AD20" i="2"/>
  <c r="N20" i="2"/>
  <c r="H19" i="2"/>
  <c r="AH19" i="2"/>
  <c r="AF19" i="2"/>
  <c r="AD19" i="2"/>
  <c r="AB19" i="2"/>
  <c r="Z19" i="2"/>
  <c r="X19" i="2"/>
  <c r="V19" i="2"/>
  <c r="T19" i="2"/>
  <c r="R19" i="2"/>
  <c r="P19" i="2"/>
  <c r="N19" i="2"/>
  <c r="L19" i="2"/>
  <c r="J19" i="2"/>
  <c r="H1192" i="1" l="1"/>
  <c r="I1192" i="1" s="1"/>
  <c r="I1195" i="1" l="1"/>
  <c r="I1236" i="1" s="1"/>
  <c r="F19" i="2"/>
  <c r="K1190" i="1" l="1"/>
  <c r="K1151" i="1"/>
  <c r="K1235" i="1"/>
  <c r="K1223" i="1"/>
  <c r="K1213" i="1"/>
  <c r="K1210" i="1"/>
  <c r="C26" i="2"/>
  <c r="K1195" i="1"/>
  <c r="K1201" i="1"/>
  <c r="AH26" i="2" l="1"/>
  <c r="AD26" i="2"/>
  <c r="Z26" i="2"/>
  <c r="V26" i="2"/>
  <c r="R26" i="2"/>
  <c r="N26" i="2"/>
  <c r="F26" i="2"/>
  <c r="AF26" i="2"/>
  <c r="AB26" i="2"/>
  <c r="X26" i="2"/>
  <c r="T26" i="2"/>
  <c r="P26" i="2"/>
  <c r="L26" i="2"/>
  <c r="H26" i="2"/>
  <c r="J26" i="2"/>
  <c r="I944" i="1"/>
  <c r="K829" i="1" s="1"/>
  <c r="K933" i="1" l="1"/>
  <c r="K723" i="1"/>
  <c r="K788" i="1"/>
  <c r="K617" i="1"/>
  <c r="K685" i="1"/>
  <c r="K647" i="1"/>
  <c r="K868" i="1"/>
  <c r="K921" i="1"/>
  <c r="K747" i="1"/>
  <c r="C22" i="2"/>
  <c r="L22" i="2" l="1"/>
  <c r="Z22" i="2"/>
  <c r="AH22" i="2"/>
  <c r="R22" i="2"/>
  <c r="H22" i="2"/>
  <c r="J22" i="2"/>
  <c r="T22" i="2"/>
  <c r="AF22" i="2"/>
  <c r="P22" i="2"/>
  <c r="V22" i="2"/>
  <c r="AD22" i="2"/>
  <c r="F22" i="2"/>
  <c r="X22" i="2"/>
  <c r="AB22" i="2"/>
  <c r="N22" i="2"/>
  <c r="K507" i="1"/>
  <c r="K541" i="1"/>
  <c r="K474" i="1"/>
  <c r="K445" i="1"/>
  <c r="K531" i="1"/>
  <c r="K522" i="1"/>
  <c r="K497" i="1"/>
  <c r="K551" i="1"/>
  <c r="C21" i="2"/>
  <c r="AH21" i="2" s="1"/>
  <c r="I1421" i="1"/>
  <c r="J165" i="1" l="1"/>
  <c r="J166" i="1"/>
  <c r="J575" i="1"/>
  <c r="J1050" i="1"/>
  <c r="X21" i="2"/>
  <c r="X29" i="2" s="1"/>
  <c r="J1034" i="1"/>
  <c r="J570" i="1"/>
  <c r="AH29" i="2"/>
  <c r="J21" i="1"/>
  <c r="J22" i="1" s="1"/>
  <c r="J509" i="1"/>
  <c r="J1417" i="1"/>
  <c r="J1418" i="1" s="1"/>
  <c r="J1021" i="1"/>
  <c r="J960" i="1"/>
  <c r="J108" i="1"/>
  <c r="Z21" i="2"/>
  <c r="Z29" i="2" s="1"/>
  <c r="J1070" i="1"/>
  <c r="J1093" i="1"/>
  <c r="J987" i="1"/>
  <c r="J272" i="1"/>
  <c r="J415" i="1"/>
  <c r="J454" i="1"/>
  <c r="J582" i="1"/>
  <c r="AB21" i="2"/>
  <c r="AB29" i="2" s="1"/>
  <c r="J971" i="1"/>
  <c r="J459" i="1"/>
  <c r="J524" i="1"/>
  <c r="J1103" i="1"/>
  <c r="J107" i="1"/>
  <c r="J1098" i="1"/>
  <c r="J1302" i="1"/>
  <c r="J650" i="1"/>
  <c r="J1414" i="1"/>
  <c r="J1209" i="1"/>
  <c r="J255" i="1"/>
  <c r="J1177" i="1"/>
  <c r="J1310" i="1"/>
  <c r="J1276" i="1"/>
  <c r="J1133" i="1"/>
  <c r="J687" i="1"/>
  <c r="J554" i="1"/>
  <c r="J1079" i="1"/>
  <c r="J460" i="1"/>
  <c r="J1134" i="1"/>
  <c r="J346" i="1"/>
  <c r="J1024" i="1"/>
  <c r="J852" i="1"/>
  <c r="J1348" i="1"/>
  <c r="J55" i="1"/>
  <c r="J795" i="1"/>
  <c r="J947" i="1"/>
  <c r="C29" i="2"/>
  <c r="D21" i="2" s="1"/>
  <c r="J1158" i="1"/>
  <c r="J1154" i="1"/>
  <c r="J1143" i="1"/>
  <c r="J1368" i="1"/>
  <c r="J169" i="1"/>
  <c r="J1067" i="1"/>
  <c r="J1068" i="1" s="1"/>
  <c r="J848" i="1"/>
  <c r="J1408" i="1"/>
  <c r="J796" i="1"/>
  <c r="J411" i="1"/>
  <c r="J197" i="1"/>
  <c r="J456" i="1"/>
  <c r="J996" i="1"/>
  <c r="J1319" i="1"/>
  <c r="P21" i="2"/>
  <c r="P29" i="2" s="1"/>
  <c r="H21" i="2"/>
  <c r="H29" i="2" s="1"/>
  <c r="R21" i="2"/>
  <c r="R29" i="2" s="1"/>
  <c r="J1407" i="1"/>
  <c r="J831" i="1"/>
  <c r="J1197" i="1"/>
  <c r="J21" i="2"/>
  <c r="J29" i="2" s="1"/>
  <c r="J1337" i="1"/>
  <c r="J1377" i="1"/>
  <c r="J499" i="1"/>
  <c r="J557" i="1"/>
  <c r="J562" i="1"/>
  <c r="J1230" i="1"/>
  <c r="J1290" i="1"/>
  <c r="J658" i="1"/>
  <c r="J48" i="1"/>
  <c r="J314" i="1"/>
  <c r="J353" i="1"/>
  <c r="J754" i="1"/>
  <c r="AF21" i="2"/>
  <c r="AF29" i="2" s="1"/>
  <c r="AD21" i="2"/>
  <c r="AD29" i="2" s="1"/>
  <c r="V21" i="2"/>
  <c r="V29" i="2" s="1"/>
  <c r="L21" i="2"/>
  <c r="L29" i="2" s="1"/>
  <c r="J1031" i="1"/>
  <c r="F21" i="2"/>
  <c r="F29" i="2" s="1"/>
  <c r="J222" i="1"/>
  <c r="J403" i="1"/>
  <c r="J546" i="1"/>
  <c r="J502" i="1"/>
  <c r="J680" i="1"/>
  <c r="J956" i="1"/>
  <c r="J565" i="1"/>
  <c r="J733" i="1"/>
  <c r="J1057" i="1"/>
  <c r="J772" i="1"/>
  <c r="J348" i="1"/>
  <c r="J578" i="1"/>
  <c r="J293" i="1"/>
  <c r="J701" i="1"/>
  <c r="J236" i="1"/>
  <c r="J737" i="1"/>
  <c r="J313" i="1"/>
  <c r="J540" i="1"/>
  <c r="J444" i="1"/>
  <c r="J918" i="1"/>
  <c r="J1397" i="1"/>
  <c r="J501" i="1"/>
  <c r="J709" i="1"/>
  <c r="J1188" i="1"/>
  <c r="J1167" i="1"/>
  <c r="J130" i="1"/>
  <c r="J443" i="1"/>
  <c r="J1155" i="1"/>
  <c r="J265" i="1"/>
  <c r="J1340" i="1"/>
  <c r="J202" i="1"/>
  <c r="J734" i="1"/>
  <c r="J550" i="1"/>
  <c r="J983" i="1"/>
  <c r="J347" i="1"/>
  <c r="J762" i="1"/>
  <c r="J253" i="1"/>
  <c r="J1365" i="1"/>
  <c r="J132" i="1"/>
  <c r="J249" i="1"/>
  <c r="J186" i="1"/>
  <c r="J794" i="1"/>
  <c r="J549" i="1"/>
  <c r="J866" i="1"/>
  <c r="J1208" i="1"/>
  <c r="J53" i="1"/>
  <c r="J884" i="1"/>
  <c r="J1303" i="1"/>
  <c r="J242" i="1"/>
  <c r="J139" i="1"/>
  <c r="J487" i="1"/>
  <c r="J1382" i="1"/>
  <c r="J98" i="1"/>
  <c r="J1168" i="1"/>
  <c r="J1249" i="1"/>
  <c r="J56" i="1"/>
  <c r="J981" i="1"/>
  <c r="J1166" i="1"/>
  <c r="J327" i="1"/>
  <c r="J325" i="1"/>
  <c r="J642" i="1"/>
  <c r="J672" i="1"/>
  <c r="J289" i="1"/>
  <c r="J1252" i="1"/>
  <c r="J684" i="1"/>
  <c r="J137" i="1"/>
  <c r="J1289" i="1"/>
  <c r="J1305" i="1"/>
  <c r="J27" i="1"/>
  <c r="J303" i="1"/>
  <c r="J859" i="1"/>
  <c r="J413" i="1"/>
  <c r="J179" i="1"/>
  <c r="J888" i="1"/>
  <c r="J83" i="1"/>
  <c r="J963" i="1"/>
  <c r="J673" i="1"/>
  <c r="J364" i="1"/>
  <c r="J292" i="1"/>
  <c r="J31" i="1"/>
  <c r="J296" i="1"/>
  <c r="J109" i="1"/>
  <c r="J1253" i="1"/>
  <c r="J1273" i="1"/>
  <c r="J436" i="1"/>
  <c r="J873" i="1"/>
  <c r="J319" i="1"/>
  <c r="J412" i="1"/>
  <c r="J645" i="1"/>
  <c r="J1184" i="1"/>
  <c r="J52" i="1"/>
  <c r="J306" i="1"/>
  <c r="J1350" i="1"/>
  <c r="J832" i="1"/>
  <c r="J1333" i="1"/>
  <c r="J675" i="1"/>
  <c r="J155" i="1"/>
  <c r="J915" i="1"/>
  <c r="J953" i="1"/>
  <c r="J1176" i="1"/>
  <c r="J379" i="1"/>
  <c r="J72" i="1"/>
  <c r="J1370" i="1"/>
  <c r="J816" i="1"/>
  <c r="J1017" i="1"/>
  <c r="J362" i="1"/>
  <c r="J150" i="1"/>
  <c r="J494" i="1"/>
  <c r="J1217" i="1"/>
  <c r="J897" i="1"/>
  <c r="J768" i="1"/>
  <c r="J566" i="1"/>
  <c r="J1028" i="1"/>
  <c r="J936" i="1"/>
  <c r="J184" i="1"/>
  <c r="J189" i="1"/>
  <c r="J239" i="1"/>
  <c r="J776" i="1"/>
  <c r="J442" i="1"/>
  <c r="J837" i="1"/>
  <c r="J441" i="1"/>
  <c r="J329" i="1"/>
  <c r="J122" i="1"/>
  <c r="J112" i="1"/>
  <c r="J1412" i="1"/>
  <c r="J760" i="1"/>
  <c r="J1056" i="1"/>
  <c r="J899" i="1"/>
  <c r="J628" i="1"/>
  <c r="J381" i="1"/>
  <c r="J453" i="1"/>
  <c r="J1104" i="1"/>
  <c r="J71" i="1"/>
  <c r="J116" i="1"/>
  <c r="J1246" i="1"/>
  <c r="J1084" i="1"/>
  <c r="J185" i="1"/>
  <c r="J744" i="1"/>
  <c r="J1089" i="1"/>
  <c r="J323" i="1"/>
  <c r="J698" i="1"/>
  <c r="J170" i="1"/>
  <c r="J995" i="1"/>
  <c r="J1262" i="1"/>
  <c r="J855" i="1"/>
  <c r="J657" i="1"/>
  <c r="J118" i="1"/>
  <c r="J324" i="1"/>
  <c r="J653" i="1"/>
  <c r="J37" i="1"/>
  <c r="J911" i="1"/>
  <c r="J742" i="1"/>
  <c r="J268" i="1"/>
  <c r="J676" i="1"/>
  <c r="J462" i="1"/>
  <c r="J793" i="1"/>
  <c r="J399" i="1"/>
  <c r="J925" i="1"/>
  <c r="J818" i="1"/>
  <c r="J849" i="1"/>
  <c r="J349" i="1"/>
  <c r="J1180" i="1"/>
  <c r="J707" i="1"/>
  <c r="J1247" i="1"/>
  <c r="J229" i="1"/>
  <c r="J491" i="1"/>
  <c r="J651" i="1"/>
  <c r="J842" i="1"/>
  <c r="J1135" i="1"/>
  <c r="J1373" i="1"/>
  <c r="J1178" i="1"/>
  <c r="J928" i="1"/>
  <c r="J154" i="1"/>
  <c r="J526" i="1"/>
  <c r="J1170" i="1"/>
  <c r="J149" i="1"/>
  <c r="J1008" i="1"/>
  <c r="J1291" i="1"/>
  <c r="J77" i="1"/>
  <c r="J420" i="1"/>
  <c r="J450" i="1"/>
  <c r="J156" i="1"/>
  <c r="J654" i="1"/>
  <c r="J79" i="1"/>
  <c r="J833" i="1"/>
  <c r="J1007" i="1"/>
  <c r="J926" i="1"/>
  <c r="J418" i="1"/>
  <c r="J366" i="1"/>
  <c r="J153" i="1"/>
  <c r="J163" i="1"/>
  <c r="J639" i="1"/>
  <c r="J198" i="1"/>
  <c r="J404" i="1"/>
  <c r="J616" i="1"/>
  <c r="J121" i="1"/>
  <c r="J528" i="1"/>
  <c r="J1304" i="1"/>
  <c r="J556" i="1"/>
  <c r="J975" i="1"/>
  <c r="J26" i="1"/>
  <c r="J974" i="1"/>
  <c r="J429" i="1"/>
  <c r="J373" i="1"/>
  <c r="J1218" i="1"/>
  <c r="J423" i="1"/>
  <c r="J583" i="1"/>
  <c r="J517" i="1"/>
  <c r="J982" i="1"/>
  <c r="J368" i="1"/>
  <c r="J39" i="1"/>
  <c r="J80" i="1"/>
  <c r="J1106" i="1"/>
  <c r="J338" i="1"/>
  <c r="J746" i="1"/>
  <c r="J485" i="1"/>
  <c r="J351" i="1"/>
  <c r="J74" i="1"/>
  <c r="J159" i="1"/>
  <c r="J500" i="1"/>
  <c r="J69" i="1"/>
  <c r="J187" i="1"/>
  <c r="J1292" i="1"/>
  <c r="J623" i="1"/>
  <c r="J664" i="1"/>
  <c r="J669" i="1"/>
  <c r="J1146" i="1"/>
  <c r="J376" i="1"/>
  <c r="J417" i="1"/>
  <c r="J124" i="1"/>
  <c r="J484" i="1"/>
  <c r="J1234" i="1"/>
  <c r="J359" i="1"/>
  <c r="J688" i="1"/>
  <c r="J286" i="1"/>
  <c r="J637" i="1"/>
  <c r="J896" i="1"/>
  <c r="J1018" i="1"/>
  <c r="J576" i="1"/>
  <c r="J1145" i="1"/>
  <c r="J1338" i="1"/>
  <c r="J655" i="1"/>
  <c r="J773" i="1"/>
  <c r="J927" i="1"/>
  <c r="J214" i="1"/>
  <c r="J877" i="1"/>
  <c r="J1194" i="1"/>
  <c r="J607" i="1"/>
  <c r="J835" i="1"/>
  <c r="J131" i="1"/>
  <c r="J75" i="1"/>
  <c r="J224" i="1"/>
  <c r="J1220" i="1"/>
  <c r="J690" i="1"/>
  <c r="J1299" i="1"/>
  <c r="J757" i="1"/>
  <c r="J880" i="1"/>
  <c r="J584" i="1"/>
  <c r="J891" i="1"/>
  <c r="J759" i="1"/>
  <c r="J254" i="1"/>
  <c r="J1250" i="1"/>
  <c r="J1298" i="1"/>
  <c r="J1207" i="1"/>
  <c r="J188" i="1"/>
  <c r="J949" i="1"/>
  <c r="J535" i="1"/>
  <c r="J1171" i="1"/>
  <c r="J544" i="1"/>
  <c r="J931" i="1"/>
  <c r="J847" i="1"/>
  <c r="J333" i="1"/>
  <c r="J1399" i="1"/>
  <c r="J966" i="1"/>
  <c r="J681" i="1"/>
  <c r="J797" i="1"/>
  <c r="J410" i="1"/>
  <c r="J809" i="1"/>
  <c r="J913" i="1"/>
  <c r="J538" i="1"/>
  <c r="J1311" i="1"/>
  <c r="J769" i="1"/>
  <c r="J288" i="1"/>
  <c r="J278" i="1"/>
  <c r="J563" i="1"/>
  <c r="J823" i="1"/>
  <c r="J1231" i="1"/>
  <c r="J257" i="1"/>
  <c r="J66" i="1"/>
  <c r="J285" i="1"/>
  <c r="J361" i="1"/>
  <c r="J571" i="1"/>
  <c r="J1027" i="1"/>
  <c r="J843" i="1"/>
  <c r="J1398" i="1"/>
  <c r="J147" i="1"/>
  <c r="J1075" i="1"/>
  <c r="J908" i="1"/>
  <c r="J1006" i="1"/>
  <c r="J488" i="1"/>
  <c r="J1358" i="1"/>
  <c r="J225" i="1"/>
  <c r="J564" i="1"/>
  <c r="J694" i="1"/>
  <c r="J1162" i="1"/>
  <c r="J614" i="1"/>
  <c r="J1071" i="1"/>
  <c r="J722" i="1"/>
  <c r="J758" i="1"/>
  <c r="J1025" i="1"/>
  <c r="J206" i="1"/>
  <c r="J770" i="1"/>
  <c r="J318" i="1"/>
  <c r="J148" i="1"/>
  <c r="J1301" i="1"/>
  <c r="J395" i="1"/>
  <c r="J70" i="1"/>
  <c r="J598" i="1"/>
  <c r="J439" i="1"/>
  <c r="J29" i="1"/>
  <c r="J1183" i="1"/>
  <c r="J907" i="1"/>
  <c r="J95" i="1"/>
  <c r="J1205" i="1"/>
  <c r="J867" i="1"/>
  <c r="J1327" i="1"/>
  <c r="J387" i="1"/>
  <c r="J774" i="1"/>
  <c r="J1130" i="1"/>
  <c r="J819" i="1"/>
  <c r="J196" i="1"/>
  <c r="J850" i="1"/>
  <c r="J1179" i="1"/>
  <c r="J1095" i="1"/>
  <c r="J480" i="1"/>
  <c r="J451" i="1"/>
  <c r="J785" i="1"/>
  <c r="J537" i="1"/>
  <c r="J88" i="1"/>
  <c r="J258" i="1"/>
  <c r="J683" i="1"/>
  <c r="J893" i="1"/>
  <c r="J472" i="1"/>
  <c r="J1248" i="1"/>
  <c r="J205" i="1"/>
  <c r="J667" i="1"/>
  <c r="J65" i="1"/>
  <c r="J301" i="1"/>
  <c r="J775" i="1"/>
  <c r="J1339" i="1"/>
  <c r="J864" i="1"/>
  <c r="J195" i="1"/>
  <c r="J530" i="1"/>
  <c r="J1161" i="1"/>
  <c r="J216" i="1"/>
  <c r="J68" i="1"/>
  <c r="J1074" i="1"/>
  <c r="J1109" i="1"/>
  <c r="J211" i="1"/>
  <c r="J961" i="1"/>
  <c r="J93" i="1"/>
  <c r="J42" i="1"/>
  <c r="J503" i="1"/>
  <c r="J1369" i="1"/>
  <c r="J212" i="1"/>
  <c r="J998" i="1"/>
  <c r="J735" i="1"/>
  <c r="J952" i="1"/>
  <c r="J902" i="1"/>
  <c r="J425" i="1"/>
  <c r="J641" i="1"/>
  <c r="J798" i="1"/>
  <c r="J157" i="1"/>
  <c r="J1193" i="1"/>
  <c r="J529" i="1"/>
  <c r="J1216" i="1"/>
  <c r="J604" i="1"/>
  <c r="J534" i="1"/>
  <c r="J365" i="1"/>
  <c r="J101" i="1"/>
  <c r="J380" i="1"/>
  <c r="J1342" i="1"/>
  <c r="J1041" i="1"/>
  <c r="J300" i="1"/>
  <c r="J213" i="1"/>
  <c r="J519" i="1"/>
  <c r="J200" i="1"/>
  <c r="J1072" i="1"/>
  <c r="J807" i="1"/>
  <c r="J1318" i="1"/>
  <c r="J337" i="1"/>
  <c r="J856" i="1"/>
  <c r="J394" i="1"/>
  <c r="J207" i="1"/>
  <c r="J261" i="1"/>
  <c r="J783" i="1"/>
  <c r="J1003" i="1"/>
  <c r="J674" i="1"/>
  <c r="J515" i="1"/>
  <c r="J1411" i="1"/>
  <c r="J1094" i="1"/>
  <c r="J297" i="1"/>
  <c r="J1129" i="1"/>
  <c r="J1026" i="1"/>
  <c r="J369" i="1"/>
  <c r="J1187" i="1"/>
  <c r="J771" i="1"/>
  <c r="J308" i="1"/>
  <c r="J661" i="1"/>
  <c r="J948" i="1"/>
  <c r="J227" i="1"/>
  <c r="J597" i="1"/>
  <c r="J644" i="1"/>
  <c r="J704" i="1"/>
  <c r="J903" i="1"/>
  <c r="J890" i="1"/>
  <c r="J743" i="1"/>
  <c r="J799" i="1"/>
  <c r="J386" i="1"/>
  <c r="J659" i="1"/>
  <c r="J493" i="1"/>
  <c r="J714" i="1"/>
  <c r="J259" i="1"/>
  <c r="J826" i="1"/>
  <c r="J145" i="1"/>
  <c r="J406" i="1"/>
  <c r="J577" i="1"/>
  <c r="J295" i="1"/>
  <c r="J929" i="1"/>
  <c r="J1321" i="1"/>
  <c r="J1061" i="1"/>
  <c r="J894" i="1"/>
  <c r="J632" i="1"/>
  <c r="J317" i="1"/>
  <c r="J784" i="1"/>
  <c r="J470" i="1"/>
  <c r="J1073" i="1"/>
  <c r="J682" i="1"/>
  <c r="J471" i="1"/>
  <c r="J810" i="1"/>
  <c r="J89" i="1"/>
  <c r="J427" i="1"/>
  <c r="J1233" i="1"/>
  <c r="J984" i="1"/>
  <c r="J393" i="1"/>
  <c r="J1040" i="1"/>
  <c r="J223" i="1"/>
  <c r="J291" i="1"/>
  <c r="J525" i="1"/>
  <c r="J384" i="1"/>
  <c r="J741" i="1"/>
  <c r="J175" i="1"/>
  <c r="J812" i="1"/>
  <c r="J1036" i="1"/>
  <c r="J547" i="1"/>
  <c r="J461" i="1"/>
  <c r="J777" i="1"/>
  <c r="J41" i="1"/>
  <c r="J276" i="1"/>
  <c r="J355" i="1"/>
  <c r="J328" i="1"/>
  <c r="J886" i="1"/>
  <c r="J624" i="1"/>
  <c r="J1080" i="1"/>
  <c r="J917" i="1"/>
  <c r="J516" i="1"/>
  <c r="J1261" i="1"/>
  <c r="J1198" i="1"/>
  <c r="J409" i="1"/>
  <c r="J853" i="1"/>
  <c r="J696" i="1"/>
  <c r="J727" i="1"/>
  <c r="J102" i="1"/>
  <c r="J237" i="1"/>
  <c r="J135" i="1"/>
  <c r="J610" i="1"/>
  <c r="J887" i="1"/>
  <c r="J932" i="1"/>
  <c r="J677" i="1"/>
  <c r="J629" i="1"/>
  <c r="J96" i="1"/>
  <c r="J219" i="1"/>
  <c r="J1016" i="1"/>
  <c r="J193" i="1"/>
  <c r="J35" i="1"/>
  <c r="J176" i="1"/>
  <c r="J422" i="1"/>
  <c r="J104" i="1"/>
  <c r="J1360" i="1"/>
  <c r="J699" i="1"/>
  <c r="J1088" i="1"/>
  <c r="J861" i="1"/>
  <c r="J218" i="1"/>
  <c r="J111" i="1"/>
  <c r="J703" i="1"/>
  <c r="J792" i="1"/>
  <c r="J905" i="1"/>
  <c r="J43" i="1"/>
  <c r="J463" i="1"/>
  <c r="J621" i="1"/>
  <c r="J764" i="1"/>
  <c r="J28" i="1"/>
  <c r="J38" i="1"/>
  <c r="J666" i="1"/>
  <c r="J536" i="1"/>
  <c r="J605" i="1"/>
  <c r="J440" i="1"/>
  <c r="J814" i="1"/>
  <c r="J1388" i="1"/>
  <c r="J1221" i="1"/>
  <c r="J389" i="1"/>
  <c r="J872" i="1"/>
  <c r="J298" i="1"/>
  <c r="J803" i="1"/>
  <c r="J1283" i="1"/>
  <c r="J860" i="1"/>
  <c r="J113" i="1"/>
  <c r="J1185" i="1"/>
  <c r="J1122" i="1"/>
  <c r="J615" i="1"/>
  <c r="J1286" i="1"/>
  <c r="J1271" i="1"/>
  <c r="J1173" i="1"/>
  <c r="J273" i="1"/>
  <c r="J720" i="1"/>
  <c r="J1244" i="1"/>
  <c r="J158" i="1"/>
  <c r="J574" i="1"/>
  <c r="J740" i="1"/>
  <c r="J1279" i="1"/>
  <c r="J199" i="1"/>
  <c r="J520" i="1"/>
  <c r="J133" i="1"/>
  <c r="J1326" i="1"/>
  <c r="J1107" i="1"/>
  <c r="J622" i="1"/>
  <c r="J1394" i="1"/>
  <c r="J1322" i="1"/>
  <c r="J738" i="1"/>
  <c r="J1137" i="1"/>
  <c r="J1229" i="1"/>
  <c r="J1099" i="1"/>
  <c r="J1136" i="1"/>
  <c r="J47" i="1"/>
  <c r="J802" i="1"/>
  <c r="J755" i="1"/>
  <c r="J58" i="1"/>
  <c r="J631" i="1"/>
  <c r="J1033" i="1"/>
  <c r="J1287" i="1"/>
  <c r="J178" i="1"/>
  <c r="J360" i="1"/>
  <c r="J492" i="1"/>
  <c r="J916" i="1"/>
  <c r="J260" i="1"/>
  <c r="J505" i="1"/>
  <c r="J32" i="1"/>
  <c r="J1043" i="1"/>
  <c r="J804" i="1"/>
  <c r="J201" i="1"/>
  <c r="J1097" i="1"/>
  <c r="J779" i="1"/>
  <c r="J697" i="1"/>
  <c r="J172" i="1"/>
  <c r="J940" i="1"/>
  <c r="J246" i="1"/>
  <c r="J274" i="1"/>
  <c r="J1257" i="1"/>
  <c r="J478" i="1"/>
  <c r="J763" i="1"/>
  <c r="J1281" i="1"/>
  <c r="J374" i="1"/>
  <c r="J1374" i="1"/>
  <c r="J1200" i="1"/>
  <c r="J608" i="1"/>
  <c r="J114" i="1"/>
  <c r="J808" i="1"/>
  <c r="J919" i="1"/>
  <c r="J134" i="1"/>
  <c r="J332" i="1"/>
  <c r="J146" i="1"/>
  <c r="J90" i="1"/>
  <c r="J1062" i="1"/>
  <c r="J482" i="1"/>
  <c r="J117" i="1"/>
  <c r="J245" i="1"/>
  <c r="J627" i="1"/>
  <c r="J1379" i="1"/>
  <c r="J331" i="1"/>
  <c r="J322" i="1"/>
  <c r="J825" i="1"/>
  <c r="J1228" i="1"/>
  <c r="J813" i="1"/>
  <c r="J889" i="1"/>
  <c r="J599" i="1"/>
  <c r="J1117" i="1"/>
  <c r="J120" i="1"/>
  <c r="J800" i="1"/>
  <c r="J1362" i="1"/>
  <c r="J876" i="1"/>
  <c r="J354" i="1"/>
  <c r="J126" i="1"/>
  <c r="J449" i="1"/>
  <c r="J1312" i="1"/>
  <c r="J171" i="1"/>
  <c r="J643" i="1"/>
  <c r="J596" i="1"/>
  <c r="J182" i="1"/>
  <c r="J1022" i="1"/>
  <c r="J671" i="1"/>
  <c r="J745" i="1"/>
  <c r="J1272" i="1"/>
  <c r="J811" i="1"/>
  <c r="J633" i="1"/>
  <c r="J806" i="1"/>
  <c r="J486" i="1"/>
  <c r="J204" i="1"/>
  <c r="J791" i="1"/>
  <c r="J910" i="1"/>
  <c r="J1284" i="1"/>
  <c r="J962" i="1"/>
  <c r="J256" i="1"/>
  <c r="J1002" i="1"/>
  <c r="J326" i="1"/>
  <c r="J964" i="1"/>
  <c r="J1023" i="1"/>
  <c r="J715" i="1"/>
  <c r="J290" i="1"/>
  <c r="J390" i="1"/>
  <c r="J950" i="1"/>
  <c r="J103" i="1"/>
  <c r="J857" i="1"/>
  <c r="J161" i="1"/>
  <c r="J939" i="1"/>
  <c r="J712" i="1"/>
  <c r="J1251" i="1"/>
  <c r="J708" i="1"/>
  <c r="J1105" i="1"/>
  <c r="J845" i="1"/>
  <c r="J367" i="1"/>
  <c r="J424" i="1"/>
  <c r="J1005" i="1"/>
  <c r="J753" i="1"/>
  <c r="J1128" i="1"/>
  <c r="J603" i="1"/>
  <c r="J477" i="1"/>
  <c r="J1206" i="1"/>
  <c r="J609" i="1"/>
  <c r="J619" i="1"/>
  <c r="J980" i="1"/>
  <c r="J1225" i="1"/>
  <c r="J144" i="1"/>
  <c r="J167" i="1" s="1"/>
  <c r="J1115" i="1"/>
  <c r="J358" i="1"/>
  <c r="J881" i="1"/>
  <c r="J920" i="1"/>
  <c r="J593" i="1"/>
  <c r="J781" i="1"/>
  <c r="J405" i="1"/>
  <c r="J352" i="1"/>
  <c r="J834" i="1"/>
  <c r="J1410" i="1"/>
  <c r="J976" i="1"/>
  <c r="J152" i="1"/>
  <c r="J951" i="1"/>
  <c r="J363" i="1"/>
  <c r="J123" i="1"/>
  <c r="J611" i="1"/>
  <c r="J1323" i="1"/>
  <c r="J965" i="1"/>
  <c r="J34" i="1"/>
  <c r="J638" i="1"/>
  <c r="J1042" i="1"/>
  <c r="J885" i="1"/>
  <c r="J1356" i="1"/>
  <c r="J909" i="1"/>
  <c r="J270" i="1"/>
  <c r="J129" i="1"/>
  <c r="J1001" i="1"/>
  <c r="J972" i="1"/>
  <c r="J858" i="1"/>
  <c r="J663" i="1"/>
  <c r="J716" i="1"/>
  <c r="J1372" i="1"/>
  <c r="J573" i="1"/>
  <c r="J620" i="1"/>
  <c r="J44" i="1"/>
  <c r="J50" i="1"/>
  <c r="J397" i="1"/>
  <c r="J1046" i="1"/>
  <c r="J1123" i="1"/>
  <c r="J1227" i="1"/>
  <c r="J1371" i="1"/>
  <c r="J1175" i="1"/>
  <c r="J801" i="1"/>
  <c r="J710" i="1"/>
  <c r="J662" i="1"/>
  <c r="J375" i="1"/>
  <c r="J100" i="1"/>
  <c r="J377" i="1"/>
  <c r="J765" i="1"/>
  <c r="J1100" i="1"/>
  <c r="J416" i="1"/>
  <c r="J269" i="1"/>
  <c r="J901" i="1"/>
  <c r="J1124" i="1"/>
  <c r="J518" i="1"/>
  <c r="J247" i="1"/>
  <c r="J756" i="1"/>
  <c r="J136" i="1"/>
  <c r="J1357" i="1"/>
  <c r="J164" i="1"/>
  <c r="J863" i="1"/>
  <c r="J805" i="1"/>
  <c r="J875" i="1"/>
  <c r="J977" i="1"/>
  <c r="J86" i="1"/>
  <c r="J1087" i="1"/>
  <c r="J533" i="1"/>
  <c r="J1039" i="1"/>
  <c r="J1260" i="1"/>
  <c r="J1121" i="1"/>
  <c r="J1347" i="1"/>
  <c r="J1165" i="1"/>
  <c r="J284" i="1"/>
  <c r="J1204" i="1"/>
  <c r="J92" i="1"/>
  <c r="J302" i="1"/>
  <c r="J1285" i="1"/>
  <c r="J73" i="1"/>
  <c r="J383" i="1"/>
  <c r="J1035" i="1"/>
  <c r="J706" i="1"/>
  <c r="J838" i="1"/>
  <c r="J428" i="1"/>
  <c r="J266" i="1"/>
  <c r="J1380" i="1"/>
  <c r="J766" i="1"/>
  <c r="J1063" i="1"/>
  <c r="J1059" i="1"/>
  <c r="J1090" i="1"/>
  <c r="J665" i="1"/>
  <c r="J955" i="1"/>
  <c r="J594" i="1"/>
  <c r="J1324" i="1"/>
  <c r="J656" i="1"/>
  <c r="J1381" i="1"/>
  <c r="J822" i="1"/>
  <c r="J1045" i="1"/>
  <c r="J821" i="1"/>
  <c r="J264" i="1"/>
  <c r="J203" i="1"/>
  <c r="J235" i="1"/>
  <c r="J151" i="1"/>
  <c r="J728" i="1"/>
  <c r="J173" i="1"/>
  <c r="J1352" i="1"/>
  <c r="J1317" i="1"/>
  <c r="J1331" i="1"/>
  <c r="J883" i="1"/>
  <c r="J721" i="1"/>
  <c r="J316" i="1"/>
  <c r="J345" i="1"/>
  <c r="J469" i="1"/>
  <c r="J602" i="1"/>
  <c r="J1278" i="1"/>
  <c r="J840" i="1"/>
  <c r="J1332" i="1"/>
  <c r="J1082" i="1"/>
  <c r="J1351" i="1"/>
  <c r="J194" i="1"/>
  <c r="J786" i="1"/>
  <c r="J60" i="1"/>
  <c r="J1159" i="1"/>
  <c r="J1320" i="1"/>
  <c r="J817" i="1"/>
  <c r="J233" i="1"/>
  <c r="J999" i="1"/>
  <c r="J636" i="1"/>
  <c r="J702" i="1"/>
  <c r="J110" i="1"/>
  <c r="J836" i="1"/>
  <c r="J209" i="1"/>
  <c r="J700" i="1"/>
  <c r="J1363" i="1"/>
  <c r="J208" i="1"/>
  <c r="J878" i="1"/>
  <c r="J590" i="1"/>
  <c r="J993" i="1"/>
  <c r="J1316" i="1"/>
  <c r="J749" i="1"/>
  <c r="J435" i="1"/>
  <c r="J935" i="1"/>
  <c r="J128" i="1"/>
  <c r="J57" i="1"/>
  <c r="J162" i="1"/>
  <c r="J334" i="1"/>
  <c r="J307" i="1"/>
  <c r="J954" i="1"/>
  <c r="J398" i="1"/>
  <c r="J1341" i="1"/>
  <c r="J521" i="1"/>
  <c r="J339" i="1"/>
  <c r="J828" i="1"/>
  <c r="J1110" i="1"/>
  <c r="J844" i="1"/>
  <c r="J1083" i="1"/>
  <c r="J719" i="1"/>
  <c r="J1269" i="1"/>
  <c r="J1013" i="1"/>
  <c r="J438" i="1"/>
  <c r="J761" i="1"/>
  <c r="J691" i="1"/>
  <c r="J1300" i="1"/>
  <c r="J751" i="1"/>
  <c r="J407" i="1"/>
  <c r="J967" i="1"/>
  <c r="J82" i="1"/>
  <c r="J421" i="1"/>
  <c r="J782" i="1"/>
  <c r="J437" i="1"/>
  <c r="J78" i="1"/>
  <c r="J305" i="1"/>
  <c r="J711" i="1"/>
  <c r="J1232" i="1"/>
  <c r="J234" i="1"/>
  <c r="J455" i="1"/>
  <c r="J942" i="1"/>
  <c r="J385" i="1"/>
  <c r="J1296" i="1"/>
  <c r="J767" i="1"/>
  <c r="J839" i="1"/>
  <c r="J1364" i="1"/>
  <c r="J262" i="1"/>
  <c r="J1343" i="1"/>
  <c r="J1060" i="1"/>
  <c r="J646" i="1"/>
  <c r="J1245" i="1"/>
  <c r="J279" i="1"/>
  <c r="J548" i="1"/>
  <c r="J506" i="1"/>
  <c r="J1306" i="1"/>
  <c r="J244" i="1"/>
  <c r="J1172" i="1"/>
  <c r="J248" i="1"/>
  <c r="J91" i="1"/>
  <c r="J81" i="1"/>
  <c r="J97" i="1"/>
  <c r="J635" i="1"/>
  <c r="J1186" i="1"/>
  <c r="J752" i="1"/>
  <c r="J545" i="1"/>
  <c r="J592" i="1"/>
  <c r="J1000" i="1"/>
  <c r="J930" i="1"/>
  <c r="J54" i="1"/>
  <c r="J870" i="1"/>
  <c r="I13" i="1"/>
  <c r="J725" i="1"/>
  <c r="J476" i="1"/>
  <c r="J581" i="1"/>
  <c r="J1295" i="1"/>
  <c r="J1256" i="1"/>
  <c r="J513" i="1"/>
  <c r="J1392" i="1"/>
  <c r="J790" i="1"/>
  <c r="J892" i="1"/>
  <c r="J1081" i="1"/>
  <c r="J64" i="1"/>
  <c r="J1344" i="1"/>
  <c r="J1277" i="1"/>
  <c r="J419" i="1"/>
  <c r="J1014" i="1"/>
  <c r="J630" i="1"/>
  <c r="J750" i="1"/>
  <c r="J1396" i="1"/>
  <c r="J820" i="1"/>
  <c r="J215" i="1"/>
  <c r="J692" i="1"/>
  <c r="J1118" i="1"/>
  <c r="J713" i="1"/>
  <c r="J378" i="1"/>
  <c r="J1393" i="1"/>
  <c r="J1174" i="1"/>
  <c r="J452" i="1"/>
  <c r="J865" i="1"/>
  <c r="J177" i="1"/>
  <c r="J287" i="1"/>
  <c r="J572" i="1"/>
  <c r="J299" i="1"/>
  <c r="J938" i="1"/>
  <c r="J315" i="1"/>
  <c r="J1378" i="1"/>
  <c r="J1280" i="1"/>
  <c r="J730" i="1"/>
  <c r="J277" i="1"/>
  <c r="J924" i="1"/>
  <c r="J125" i="1"/>
  <c r="J1325" i="1"/>
  <c r="J1015" i="1"/>
  <c r="J736" i="1"/>
  <c r="J1409" i="1"/>
  <c r="J330" i="1"/>
  <c r="J496" i="1"/>
  <c r="J183" i="1"/>
  <c r="J241" i="1"/>
  <c r="J414" i="1"/>
  <c r="J230" i="1"/>
  <c r="J138" i="1"/>
  <c r="J391" i="1"/>
  <c r="J228" i="1"/>
  <c r="J731" i="1"/>
  <c r="J732" i="1"/>
  <c r="J430" i="1"/>
  <c r="J180" i="1"/>
  <c r="J30" i="1"/>
  <c r="J267" i="1"/>
  <c r="J45" i="1"/>
  <c r="J343" i="1"/>
  <c r="J718" i="1"/>
  <c r="J854" i="1"/>
  <c r="J309" i="1"/>
  <c r="J76" i="1"/>
  <c r="J600" i="1"/>
  <c r="J1386" i="1"/>
  <c r="J1199" i="1"/>
  <c r="J1004" i="1"/>
  <c r="J1149" i="1"/>
  <c r="J1150" i="1" s="1"/>
  <c r="J312" i="1"/>
  <c r="J1330" i="1"/>
  <c r="J1011" i="1"/>
  <c r="J282" i="1"/>
  <c r="J388" i="1"/>
  <c r="J882" i="1"/>
  <c r="J119" i="1"/>
  <c r="J426" i="1"/>
  <c r="J40" i="1"/>
  <c r="J33" i="1"/>
  <c r="J994" i="1"/>
  <c r="J726" i="1"/>
  <c r="J1361" i="1"/>
  <c r="J1096" i="1"/>
  <c r="J606" i="1"/>
  <c r="J640" i="1"/>
  <c r="J1160" i="1"/>
  <c r="J232" i="1"/>
  <c r="J294" i="1"/>
  <c r="J904" i="1"/>
  <c r="J335" i="1"/>
  <c r="J997" i="1"/>
  <c r="J304" i="1"/>
  <c r="J271" i="1"/>
  <c r="J504" i="1"/>
  <c r="J336" i="1"/>
  <c r="J479" i="1"/>
  <c r="J879" i="1"/>
  <c r="J815" i="1"/>
  <c r="J989" i="1"/>
  <c r="J539" i="1"/>
  <c r="J464" i="1"/>
  <c r="J900" i="1"/>
  <c r="J874" i="1"/>
  <c r="J1359" i="1"/>
  <c r="J739" i="1"/>
  <c r="J510" i="1"/>
  <c r="J729" i="1"/>
  <c r="J67" i="1"/>
  <c r="J94" i="1"/>
  <c r="J1288" i="1"/>
  <c r="J660" i="1"/>
  <c r="J231" i="1"/>
  <c r="J898" i="1"/>
  <c r="J652" i="1"/>
  <c r="J670" i="1"/>
  <c r="J1058" i="1"/>
  <c r="J283" i="1"/>
  <c r="J408" i="1"/>
  <c r="J1387" i="1"/>
  <c r="J141" i="1"/>
  <c r="J243" i="1"/>
  <c r="J481" i="1"/>
  <c r="J1076" i="1"/>
  <c r="J612" i="1"/>
  <c r="J99" i="1"/>
  <c r="J1268" i="1"/>
  <c r="J851" i="1"/>
  <c r="J1219" i="1"/>
  <c r="J51" i="1"/>
  <c r="J906" i="1"/>
  <c r="J527" i="1"/>
  <c r="J912" i="1"/>
  <c r="J210" i="1"/>
  <c r="J490" i="1"/>
  <c r="J240" i="1"/>
  <c r="J1404" i="1"/>
  <c r="J1405" i="1" s="1"/>
  <c r="J1309" i="1"/>
  <c r="J1127" i="1"/>
  <c r="J1012" i="1"/>
  <c r="J174" i="1"/>
  <c r="J625" i="1"/>
  <c r="J350" i="1"/>
  <c r="J846" i="1"/>
  <c r="J1181" i="1"/>
  <c r="J1270" i="1"/>
  <c r="J1108" i="1"/>
  <c r="J601" i="1"/>
  <c r="J689" i="1"/>
  <c r="J591" i="1"/>
  <c r="J778" i="1"/>
  <c r="J1297" i="1"/>
  <c r="J717" i="1"/>
  <c r="J127" i="1"/>
  <c r="J495" i="1"/>
  <c r="J217" i="1"/>
  <c r="J595" i="1"/>
  <c r="J613" i="1"/>
  <c r="J668" i="1"/>
  <c r="J626" i="1"/>
  <c r="J679" i="1"/>
  <c r="J465" i="1"/>
  <c r="J49" i="1"/>
  <c r="J1222" i="1"/>
  <c r="J483" i="1"/>
  <c r="J226" i="1"/>
  <c r="J1169" i="1"/>
  <c r="J693" i="1"/>
  <c r="J1282" i="1"/>
  <c r="J1413" i="1"/>
  <c r="J695" i="1"/>
  <c r="J59" i="1"/>
  <c r="J344" i="1"/>
  <c r="J1064" i="1"/>
  <c r="J1032" i="1"/>
  <c r="J263" i="1"/>
  <c r="J1349" i="1"/>
  <c r="J392" i="1"/>
  <c r="J841" i="1"/>
  <c r="J988" i="1"/>
  <c r="J489" i="1"/>
  <c r="J275" i="1"/>
  <c r="J160" i="1"/>
  <c r="J862" i="1"/>
  <c r="J634" i="1"/>
  <c r="J396" i="1"/>
  <c r="J87" i="1"/>
  <c r="J140" i="1"/>
  <c r="J514" i="1"/>
  <c r="J914" i="1"/>
  <c r="J1182" i="1"/>
  <c r="J320" i="1"/>
  <c r="J1226" i="1"/>
  <c r="J678" i="1"/>
  <c r="J115" i="1"/>
  <c r="J957" i="1"/>
  <c r="J780" i="1"/>
  <c r="J705" i="1"/>
  <c r="AG13" i="2"/>
  <c r="J36" i="1"/>
  <c r="J1395" i="1"/>
  <c r="J649" i="1"/>
  <c r="J1049" i="1"/>
  <c r="J1239" i="1"/>
  <c r="J1240" i="1" s="1"/>
  <c r="J468" i="1"/>
  <c r="J1192" i="1"/>
  <c r="J1385" i="1"/>
  <c r="J1215" i="1"/>
  <c r="J372" i="1"/>
  <c r="J342" i="1"/>
  <c r="N21" i="2"/>
  <c r="N29" i="2" s="1"/>
  <c r="J1212" i="1"/>
  <c r="J1213" i="1" s="1"/>
  <c r="J192" i="1"/>
  <c r="J1355" i="1"/>
  <c r="J923" i="1"/>
  <c r="J448" i="1"/>
  <c r="J1243" i="1"/>
  <c r="J1203" i="1"/>
  <c r="J1055" i="1"/>
  <c r="J402" i="1"/>
  <c r="J1267" i="1"/>
  <c r="J238" i="1"/>
  <c r="J356" i="1"/>
  <c r="J895" i="1"/>
  <c r="J787" i="1"/>
  <c r="J181" i="1"/>
  <c r="J46" i="1"/>
  <c r="J1144" i="1"/>
  <c r="J382" i="1"/>
  <c r="J357" i="1"/>
  <c r="J252" i="1"/>
  <c r="J543" i="1"/>
  <c r="J551" i="1" s="1"/>
  <c r="T21" i="2"/>
  <c r="T29" i="2" s="1"/>
  <c r="J25" i="1"/>
  <c r="J569" i="1"/>
  <c r="J63" i="1"/>
  <c r="J937" i="1"/>
  <c r="J1116" i="1"/>
  <c r="J941" i="1"/>
  <c r="J827" i="1"/>
  <c r="J871" i="1"/>
  <c r="J973" i="1"/>
  <c r="J824" i="1"/>
  <c r="J321" i="1"/>
  <c r="G29" i="2" l="1"/>
  <c r="J990" i="1"/>
  <c r="M29" i="2"/>
  <c r="J541" i="1"/>
  <c r="J531" i="1"/>
  <c r="J522" i="1"/>
  <c r="J511" i="1"/>
  <c r="AG29" i="2"/>
  <c r="J1313" i="1"/>
  <c r="S29" i="2"/>
  <c r="Q29" i="2"/>
  <c r="K29" i="2"/>
  <c r="AC29" i="2"/>
  <c r="J1258" i="1"/>
  <c r="J1210" i="1"/>
  <c r="AE29" i="2"/>
  <c r="J1195" i="1"/>
  <c r="J1334" i="1"/>
  <c r="U29" i="2"/>
  <c r="J1263" i="1"/>
  <c r="O29" i="2"/>
  <c r="I29" i="2"/>
  <c r="J1254" i="1"/>
  <c r="J985" i="1"/>
  <c r="J473" i="1"/>
  <c r="J1131" i="1"/>
  <c r="Y29" i="2"/>
  <c r="J1029" i="1"/>
  <c r="J1101" i="1"/>
  <c r="J968" i="1"/>
  <c r="J1383" i="1"/>
  <c r="W29" i="2"/>
  <c r="J370" i="1"/>
  <c r="J685" i="1"/>
  <c r="J310" i="1"/>
  <c r="J585" i="1"/>
  <c r="J1009" i="1"/>
  <c r="J105" i="1"/>
  <c r="J1119" i="1"/>
  <c r="J61" i="1"/>
  <c r="AA29" i="2"/>
  <c r="J1077" i="1"/>
  <c r="J400" i="1"/>
  <c r="J1019" i="1"/>
  <c r="J497" i="1"/>
  <c r="J617" i="1"/>
  <c r="J1189" i="1"/>
  <c r="J1345" i="1"/>
  <c r="J1085" i="1"/>
  <c r="J466" i="1"/>
  <c r="J1353" i="1"/>
  <c r="J1235" i="1"/>
  <c r="J190" i="1"/>
  <c r="J567" i="1"/>
  <c r="J978" i="1"/>
  <c r="J280" i="1"/>
  <c r="J933" i="1"/>
  <c r="J1389" i="1"/>
  <c r="J340" i="1"/>
  <c r="J829" i="1"/>
  <c r="J1125" i="1"/>
  <c r="J1201" i="1"/>
  <c r="J1375" i="1"/>
  <c r="J723" i="1"/>
  <c r="J457" i="1"/>
  <c r="J1400" i="1"/>
  <c r="J921" i="1"/>
  <c r="J943" i="1"/>
  <c r="J647" i="1"/>
  <c r="J868" i="1"/>
  <c r="J1147" i="1"/>
  <c r="J1151" i="1" s="1"/>
  <c r="J1138" i="1"/>
  <c r="J958" i="1"/>
  <c r="J747" i="1"/>
  <c r="J1366" i="1"/>
  <c r="J1274" i="1"/>
  <c r="J220" i="1"/>
  <c r="J445" i="1"/>
  <c r="J1047" i="1"/>
  <c r="J250" i="1"/>
  <c r="J1415" i="1"/>
  <c r="J1419" i="1" s="1"/>
  <c r="J1156" i="1"/>
  <c r="J1293" i="1"/>
  <c r="J1223" i="1"/>
  <c r="J431" i="1"/>
  <c r="J788" i="1"/>
  <c r="E29" i="2"/>
  <c r="F30" i="2"/>
  <c r="J1163" i="1"/>
  <c r="J142" i="1"/>
  <c r="J84" i="1"/>
  <c r="J579" i="1"/>
  <c r="J1065" i="1"/>
  <c r="J1307" i="1"/>
  <c r="J1328" i="1"/>
  <c r="J1091" i="1"/>
  <c r="J1037" i="1"/>
  <c r="J507" i="1"/>
  <c r="D26" i="2"/>
  <c r="D23" i="2"/>
  <c r="D22" i="2"/>
  <c r="D24" i="2"/>
  <c r="D20" i="2"/>
  <c r="D25" i="2"/>
  <c r="D28" i="2"/>
  <c r="D19" i="2"/>
  <c r="D27" i="2"/>
  <c r="J1111" i="1"/>
  <c r="J1264" i="1" l="1"/>
  <c r="J991" i="1"/>
  <c r="J1052" i="1" s="1"/>
  <c r="J474" i="1"/>
  <c r="J1390" i="1"/>
  <c r="J1139" i="1"/>
  <c r="J586" i="1"/>
  <c r="J432" i="1"/>
  <c r="J1190" i="1"/>
  <c r="J1236" i="1" s="1"/>
  <c r="J944" i="1"/>
  <c r="J1314" i="1"/>
  <c r="J1112" i="1"/>
  <c r="E30" i="2"/>
  <c r="H30" i="2"/>
  <c r="D29" i="2"/>
  <c r="J587" i="1" l="1"/>
  <c r="J1401" i="1"/>
  <c r="G30" i="2"/>
  <c r="J30" i="2"/>
  <c r="J1421" i="1" l="1"/>
  <c r="I30" i="2"/>
  <c r="L30" i="2"/>
  <c r="N30" i="2" l="1"/>
  <c r="K30" i="2"/>
  <c r="M30" i="2" l="1"/>
  <c r="P30" i="2"/>
  <c r="O30" i="2" l="1"/>
  <c r="R30" i="2"/>
  <c r="Q30" i="2" l="1"/>
  <c r="T30" i="2"/>
  <c r="S30" i="2" l="1"/>
  <c r="V30" i="2"/>
  <c r="U30" i="2" l="1"/>
  <c r="X30" i="2"/>
  <c r="W30" i="2" l="1"/>
  <c r="Z30" i="2"/>
  <c r="Y30" i="2" l="1"/>
  <c r="AB30" i="2"/>
  <c r="AA30" i="2" l="1"/>
  <c r="AD30" i="2"/>
  <c r="AC30" i="2" l="1"/>
  <c r="AF30" i="2"/>
  <c r="AE30" i="2" l="1"/>
  <c r="AH30" i="2"/>
  <c r="AG30" i="2" s="1"/>
  <c r="K511" i="1"/>
  <c r="K536" i="1"/>
</calcChain>
</file>

<file path=xl/sharedStrings.xml><?xml version="1.0" encoding="utf-8"?>
<sst xmlns="http://schemas.openxmlformats.org/spreadsheetml/2006/main" count="5588" uniqueCount="2055">
  <si>
    <t>ITEM</t>
  </si>
  <si>
    <t>FONTE</t>
  </si>
  <si>
    <t>CÓDIGO</t>
  </si>
  <si>
    <t>DESCRIÇÃO DOS SERVIÇOS</t>
  </si>
  <si>
    <t>%</t>
  </si>
  <si>
    <t>1.0</t>
  </si>
  <si>
    <t>SERVIÇOS PRELIMINARES</t>
  </si>
  <si>
    <t>CDHU</t>
  </si>
  <si>
    <t>2.0</t>
  </si>
  <si>
    <t>FDE</t>
  </si>
  <si>
    <t>-</t>
  </si>
  <si>
    <t>15.80.045</t>
  </si>
  <si>
    <t>3.0</t>
  </si>
  <si>
    <t>04.09.160</t>
  </si>
  <si>
    <t>RETIRADA DE ENTELAMENTO METÁLICO EM GERAL</t>
  </si>
  <si>
    <t>4.0</t>
  </si>
  <si>
    <t>5.0</t>
  </si>
  <si>
    <t>6.0</t>
  </si>
  <si>
    <t>SINAPI</t>
  </si>
  <si>
    <t>7.0</t>
  </si>
  <si>
    <t>06.60.001</t>
  </si>
  <si>
    <t>REATERRO INTERNO APILOADO</t>
  </si>
  <si>
    <t>02.01.012</t>
  </si>
  <si>
    <t>8.0</t>
  </si>
  <si>
    <t>DEMOLIÇÃO DE ALVENARIA DE BLOCO FURADO, DE FORMA MANUAL, SEM REAPROVEITAMENTO. AF_12/2017</t>
  </si>
  <si>
    <t>COBERTURA</t>
  </si>
  <si>
    <t>ESTACA BROCA DE CONCRETO, DIÂMETRO DE 20CM, ESCAVAÇÃO MANUAL COM TRADO CONCHA, COM ARMADURA DE ARRANQUE. AF_05/2020</t>
  </si>
  <si>
    <t>02.01.001</t>
  </si>
  <si>
    <t>02.03.001</t>
  </si>
  <si>
    <t>15.03.030</t>
  </si>
  <si>
    <t>16.12.200</t>
  </si>
  <si>
    <t>9.0</t>
  </si>
  <si>
    <t>13.50.001</t>
  </si>
  <si>
    <t>10.0</t>
  </si>
  <si>
    <t>QUADRA</t>
  </si>
  <si>
    <t>MASSA ÚNICA, PARA RECEBIMENTO DE PINTURA, EM ARGAMASSA TRAÇO 1:2:8, PREPARO MECÂNICO COM BETONEIRA 400L, APLICADA MANUALMENTE EM FACES INTERNAS DE PAREDES, ESPESSURA DE 20MM, COM EXECUÇÃO DE TALISCAS. AF_06/2014</t>
  </si>
  <si>
    <t>APLICAÇÃO MANUAL DE PINTURA COM TINTA LÁTEX ACRÍLICA EM PAREDES, DUAS DEMÃOS. AF_06/2014</t>
  </si>
  <si>
    <t>46.18.090</t>
  </si>
  <si>
    <t>TUBO DE AÇO GALVANIZADO COM COSTURA, CLASSE MÉDIA, DN 80 (3"), CONEXÃO ROSQUEADA, INSTALADO EM REDE DE ALIMENTAÇÃO PARA HIDRANTE - FORNECIMENTO E INSTALAÇÃO. AF_10/2020</t>
  </si>
  <si>
    <t>ESMALTE EM ESQUADRIAS DE FERRO INCLUSIVE PREPARO E RETOQUES DE ZARCÃO – TUBOS</t>
  </si>
  <si>
    <t>HIDRANTES E BOMBA DE INCÊNDIO</t>
  </si>
  <si>
    <t>INSTALAÇÕES ELÉTRICAS PARA BOMBA</t>
  </si>
  <si>
    <t>09.03.046</t>
  </si>
  <si>
    <t>ELETRODUTO DE PVC RÍGIDO ROSCÁVEL DE 25MM - INCLUSIVE CONEXÕES</t>
  </si>
  <si>
    <t>09.05.074</t>
  </si>
  <si>
    <t>DISJUNTOR TRIPOLAR TERMOMAGNÉTICO 3X10A A 3X50A</t>
  </si>
  <si>
    <t>01.05.001</t>
  </si>
  <si>
    <t>ESCAVAÇÃO MANUAL - PROFUNDIDADE ATÉ 1,80M</t>
  </si>
  <si>
    <t>01.06.005</t>
  </si>
  <si>
    <t>CAIXA ENTERRADA ELÉTRICA RETANGULAR, EM CONCRETO PRÉ-MOLDADO, FUNDO COM BRITA, DIMENSÕES INTERNAS: 0,3X0,3X0,3 M. AF_12/2020</t>
  </si>
  <si>
    <t>BOMBA</t>
  </si>
  <si>
    <t>09.05.081</t>
  </si>
  <si>
    <t>QUADRO DE COMANDO PARA CONJUNTO MOTOR-BOMBA TRIFÁSICO</t>
  </si>
  <si>
    <t>09.83.050</t>
  </si>
  <si>
    <t>BOTOEIRA LIGA-DESLIGA PARA COMANDO DA BOMBA DE RECALQUE</t>
  </si>
  <si>
    <t>08.08.069</t>
  </si>
  <si>
    <t>AI-08 ABRIGO PARA BOMBA DE INCÊNDIO</t>
  </si>
  <si>
    <t>08.08.061</t>
  </si>
  <si>
    <t>PRESSOSTATO (VALVULA DE FLUXO) COM SENSOR DIAFRAGMA</t>
  </si>
  <si>
    <t>VÁLVULA DE GAVETA EM BRONZE, HASTE NÃO ASCENDENTE, CLASSE 125 LIBRAS PARA VAPOR E CLASSE 200 LIBRAS PARA ÁGUA, ÓLEO E GÁS, DN=1 1/2"</t>
  </si>
  <si>
    <t>1413-I</t>
  </si>
  <si>
    <t>VÁLVULA DE RETENÇÃO HORIZONTAL, DE BRONZE, 1/2" - FORNECIMENTO E INSTALAÇÃO</t>
  </si>
  <si>
    <t>VÁLVULA DE ESFERA BRUTA, BRONZE, ROSCÁVEL 1/2" - FORNECIMENTO E INSTALAÇÃO</t>
  </si>
  <si>
    <t>UNIÃO, EM FERRO GALVANIZADO, DN 1/4" - FORNECIMENTO E INSTALAÇÃO</t>
  </si>
  <si>
    <t>TUBO DE AÇO GALVANIZADO COM COSTURA, CLASSE MÉDIA, DN 1/4" - FORNECIMENTO E INSTALAÇÃO</t>
  </si>
  <si>
    <t>REDE E HIDRANTES</t>
  </si>
  <si>
    <t>08.08.012</t>
  </si>
  <si>
    <t>REGISTRO DE RECALQUE NO PASSEIO (RR-01)</t>
  </si>
  <si>
    <t>50.01.090</t>
  </si>
  <si>
    <t>BOTOEIRA PARA ACIONAMENTO DE BOMBA DE INCÊNDIO TIPO QUEBRA VIDRO</t>
  </si>
  <si>
    <t>ESMALTE EM ESQUADRIAS DE FERRO INCLUSIVE PREPARO E RETOQUES DE ZARCÃO – TUBULAÇÃO</t>
  </si>
  <si>
    <t>09.05.097</t>
  </si>
  <si>
    <t>09.08.087</t>
  </si>
  <si>
    <t>SIRENE PARA ALARME DE EMERGÊNCIA - ELETRODUTO DE PVC</t>
  </si>
  <si>
    <t>09.08.086</t>
  </si>
  <si>
    <t>ACIONADOR DO ALARME DE INCÊNDIO</t>
  </si>
  <si>
    <t>38.04.040</t>
  </si>
  <si>
    <t>ELETRODUTO GALVANIZADO A QUENTE CONFORME NBR 6323 - 3/4" COM ACESSÓRIOS</t>
  </si>
  <si>
    <t>09.04.089</t>
  </si>
  <si>
    <t>DISJUNTOR UNIPOLAR TERMOMAGNETICO 1X35A A 1X50A</t>
  </si>
  <si>
    <t>CABO DE COBRE FLEXÍVEL BLINDADO DE 2 X 2,5 MM², ISOLAMENTO 600V, ISOLAÇÃO EM VC/E 105º C - PARA DETECÇÃO E INCÊNDIO</t>
  </si>
  <si>
    <t>09.09.083</t>
  </si>
  <si>
    <t>08.08.050</t>
  </si>
  <si>
    <t>EXTINTORES MANUAIS DE AGUA PRESSURIZADA CAPACIDADE DE 10L</t>
  </si>
  <si>
    <t>08.08.046</t>
  </si>
  <si>
    <t>EXTINTORES MANUAIS PO QUIMICO SECO COM CAPACIDADE DE 4KG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</si>
  <si>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</si>
  <si>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</si>
  <si>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</si>
  <si>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</si>
  <si>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97.02.197</t>
  </si>
  <si>
    <t>PLACA DE SINALIZAÇÃO EM PVC COM INDICAÇÃO DE ALERTA</t>
  </si>
  <si>
    <t>COMPLEMENTOS</t>
  </si>
  <si>
    <t>TREINAMENTO DE BRIGADA DE INCÊNDIO, INCLUSIVE ATESTADO</t>
  </si>
  <si>
    <t>RELATÓRIO DE COMISSIONAMENTO E RELATÓRIO DE INSPEÇÃO PERÍODICA DO SISTEMA DE DETECÇÃO E ALARME DE INCÊNDIO</t>
  </si>
  <si>
    <t>RELATÓRIO DE COMISSIONAMENTO DO SISTEMA DE HIDRANTES / MANGOTINHOS</t>
  </si>
  <si>
    <t>TOTAL GERAL</t>
  </si>
  <si>
    <t>CRONOGRAMA FÍSICO-FINANCEIRO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</si>
  <si>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</si>
  <si>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</si>
  <si>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</si>
  <si>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</si>
  <si>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</si>
  <si>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</si>
  <si>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</si>
  <si>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</si>
  <si>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</si>
  <si>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</si>
  <si>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</si>
  <si>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</si>
  <si>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CÓD.</t>
  </si>
  <si>
    <t>CUSTO</t>
  </si>
  <si>
    <t>R$</t>
  </si>
  <si>
    <t>TOTAL</t>
  </si>
  <si>
    <t>ACUMULADO</t>
  </si>
  <si>
    <t>M</t>
  </si>
  <si>
    <t>M2</t>
  </si>
  <si>
    <t>KG</t>
  </si>
  <si>
    <t>CJ</t>
  </si>
  <si>
    <t>RETIRADA DE ESQUADRIAS METÁLICAS</t>
  </si>
  <si>
    <t>03.04.020</t>
  </si>
  <si>
    <t>DEMOLIÇÃO MANUAL DE REVESTIMENTO CERÂMICO, INCLUINDO BASE</t>
  </si>
  <si>
    <t>RETIRADA DE TORNEIRAS</t>
  </si>
  <si>
    <t>44.03.400</t>
  </si>
  <si>
    <t>JANELA FIXA DE ALUMÍNIO PARA VIDRO, COM VIDRO, BATENTE E FERRAGENS. EXCLUSIVE ACABAMENTO, ALIZAR E CONTRAMARCO. FORNECIMENTO E INSTALAÇÃO. AF_12/2019</t>
  </si>
  <si>
    <t>04.08.080</t>
  </si>
  <si>
    <t>13.50.016</t>
  </si>
  <si>
    <t>03.01.020</t>
  </si>
  <si>
    <t>DEMOLIÇÃO MANUAL DE CONCRETO SIMPLES</t>
  </si>
  <si>
    <t>11.16.220</t>
  </si>
  <si>
    <t>NIVELAMENTO DE PISO EM CONCRETO COM ACABADORA DE SUPERFÍCIE</t>
  </si>
  <si>
    <t>05.80.041</t>
  </si>
  <si>
    <t>SANITÁRIOS FUNCIONÁRIOS (FEMININO E MASCULINO)</t>
  </si>
  <si>
    <t>04.03.060</t>
  </si>
  <si>
    <t>RETIRADA DE CUMEEIRA OU ESPIGÃO EM BARRO</t>
  </si>
  <si>
    <t>04.02.020</t>
  </si>
  <si>
    <t>CUMEEIRA EM CHAPA DE AÇO PRÉ-PINTADA COM EPÓXI E POLIÉSTER, PERFIL TRAPEZOIDAL, COM ESPESSURA DE 0,50MM</t>
  </si>
  <si>
    <t>PILARES</t>
  </si>
  <si>
    <t>VIGAS</t>
  </si>
  <si>
    <t>BLOCO 02 - SERVIÇOS INTERNOS</t>
  </si>
  <si>
    <t>BLOCO 01 - SERVIÇOS INTERNOS</t>
  </si>
  <si>
    <t>BLOCO 01 - SERVIÇOS EXTERNOS</t>
  </si>
  <si>
    <t>BLOCO 02 - SERVIÇOS EXTERNOS</t>
  </si>
  <si>
    <t>COZINHA, DESPENSA E LAVANDERIA</t>
  </si>
  <si>
    <t>DIRETORIA</t>
  </si>
  <si>
    <t>HALL</t>
  </si>
  <si>
    <t>SALA DOS PROFESSORES</t>
  </si>
  <si>
    <t>SALA DE AULA 01</t>
  </si>
  <si>
    <t>SALA DE AULA 02</t>
  </si>
  <si>
    <t>SALA DE AULA 03</t>
  </si>
  <si>
    <t>SALA DE AULA 04</t>
  </si>
  <si>
    <t>SALA DE AULA 05</t>
  </si>
  <si>
    <t>SALA DE AULA 06</t>
  </si>
  <si>
    <t>SALA DE AULA 07</t>
  </si>
  <si>
    <t>SALA DE AULA 08</t>
  </si>
  <si>
    <t>SECRETARIA, ALMOXARIFADO E COPA</t>
  </si>
  <si>
    <t>SALA MULTIFUNCIONAL</t>
  </si>
  <si>
    <t>SALA DE AULA 09</t>
  </si>
  <si>
    <t>SALA DE AULA 10</t>
  </si>
  <si>
    <t>DEMOLIÇÕES E RETIRADAS</t>
  </si>
  <si>
    <t>FIOS E CABOS</t>
  </si>
  <si>
    <t>DISPOSITIVO ELÉTRICO EMBUTIDO</t>
  </si>
  <si>
    <t>DISPOSITIVO DE PROTEÇÃO</t>
  </si>
  <si>
    <t>LUMINÁRIA, LÂMPADAS E ACESSÓRIOS</t>
  </si>
  <si>
    <t>QUADRO DE DISTRIBUIÇÃO</t>
  </si>
  <si>
    <t>INSTALAÇÃO DE PREVENÇÃO CONTRA INCÊNDIOS</t>
  </si>
  <si>
    <t>16.05.048</t>
  </si>
  <si>
    <t>33.02.080</t>
  </si>
  <si>
    <t>03.02.020</t>
  </si>
  <si>
    <t>DEMOLIÇÃO MANUAL DE ALVENARIA DE FUNDAÇÃO/EMBASAMENTO</t>
  </si>
  <si>
    <t>REMOÇÃO DE TRAMA DE MADEIRA PARA COBERTURA, DE FORMA MANUAL, SEM REAPROVEITAMENTO</t>
  </si>
  <si>
    <t>REMOÇÃO DE TESOURAS DE MADEIRA, COM VÃO MAIOR OU IGUAL A 8M, DE FORMA MANUAL, SEM REAPROVEITAMENTO. AF_12/2017</t>
  </si>
  <si>
    <t>PREFEITURA MUNICIPAL DE ITARARÉ</t>
  </si>
  <si>
    <t>Secretaria de Desenvolvimento Municipal</t>
  </si>
  <si>
    <t>Coordenadoria de Engenharia e Obras</t>
  </si>
  <si>
    <t>CNPJ: 46.634.390/0001-52</t>
  </si>
  <si>
    <t>Rua XV de Novembro, nº 83 - Centro</t>
  </si>
  <si>
    <t>Telefone: (15) 3532-8000 / e-mail: engenharia@itarare.sp.gov.br</t>
  </si>
  <si>
    <t>CONTRATANTE:</t>
  </si>
  <si>
    <t>OBJETO:</t>
  </si>
  <si>
    <t>LOCAL:</t>
  </si>
  <si>
    <t>RUA ÍTALO VINCENZI, Nº 155, JARDIM SÃO PEDRO - ITARARÉ/SP - CEP: 18.462-412</t>
  </si>
  <si>
    <t>DATA:</t>
  </si>
  <si>
    <t>VALOR:</t>
  </si>
  <si>
    <t>BDI:</t>
  </si>
  <si>
    <t>WILHEN CARMELO SALLES KUCHTA</t>
  </si>
  <si>
    <t>ENGENHEIRO CIVIL / CREA-SP 5070204438</t>
  </si>
  <si>
    <t>QUANTIDADE</t>
  </si>
  <si>
    <t>UNIDADE</t>
  </si>
  <si>
    <t>REFERÊNCIAS</t>
  </si>
  <si>
    <t>COMPANHIA DE DESENVOLVIMENTO HABITACIONAL E URBANO - CDHU: BOLETIM REFERENCIAL DE CUSTOS - 188_ L.S.: 128,23% - S/ DESONERAÇÃO</t>
  </si>
  <si>
    <t>CUSTO UNITÁRIO (R$)</t>
  </si>
  <si>
    <t>PESO (%)</t>
  </si>
  <si>
    <t>CUSTO C/ BDI (R$)</t>
  </si>
  <si>
    <t>TOTAL C/ BDI (R$)</t>
  </si>
  <si>
    <t>RESERVATÓRIO</t>
  </si>
  <si>
    <t>10.1</t>
  </si>
  <si>
    <t>10.1.1</t>
  </si>
  <si>
    <t>BASE EM CONCRETO ARMADO</t>
  </si>
  <si>
    <t>01.01.001</t>
  </si>
  <si>
    <t>01.10.001</t>
  </si>
  <si>
    <t>02.02.026</t>
  </si>
  <si>
    <t>02.01.010</t>
  </si>
  <si>
    <t>02.01.015</t>
  </si>
  <si>
    <t>02.04.002</t>
  </si>
  <si>
    <t>02.04.003</t>
  </si>
  <si>
    <t>02.05.018</t>
  </si>
  <si>
    <t>RETIRADA DA VEGETACAO, TRONCOS ATE 5CM DE DIAMETRO E RASPAGEM.</t>
  </si>
  <si>
    <t>GABARITO DE MADEIRA ESQUADRADO E NIVELADO PARA LOCAÇÃO DE OBRA</t>
  </si>
  <si>
    <t>ESCAVACAO MANUAL - PROFUNDIDADE ATE 1.80 M</t>
  </si>
  <si>
    <t>BROCA DE CONCRETO DE DIAMETRO 25CM - INCLUSIVE ARRANQUES</t>
  </si>
  <si>
    <t>APILOAMENTO PARA SIMPLES REGULARIZACAO</t>
  </si>
  <si>
    <t>LASTRO DE PEDRA BRITADA - 5CM</t>
  </si>
  <si>
    <t>LASTRO DE CONCRETO - 5 CM</t>
  </si>
  <si>
    <t>FORMA DE MADEIRA MACICA</t>
  </si>
  <si>
    <t>ACO CA 50 (A OU B) FYK= 500 M PA (AÇO 10,00 MM)</t>
  </si>
  <si>
    <t>ACO CA 60 (A OU B) FYK= 600 M PA (AÇO 4,20 MM)</t>
  </si>
  <si>
    <t>CONCRETO DOSADO E LANCADO FCK=25MPA</t>
  </si>
  <si>
    <t>M3</t>
  </si>
  <si>
    <t>ORÇAMENTO</t>
  </si>
  <si>
    <t>RESERVATÓRIO METÁLICO TUBULAR, CAPACIDADE DE 10.000 L, INCLUINDO PINTURA INTERNA E EXTERNA, TRANSPORTE, IÇAMENTO E ANCORAGEM NA BASE</t>
  </si>
  <si>
    <t>UN.</t>
  </si>
  <si>
    <t>FLANGE AVULSO EM FERRO FUNDIDO, CLASSE PN-10, DN=65MM</t>
  </si>
  <si>
    <t xml:space="preserve">RESERVATÓRIO METÁLICO  </t>
  </si>
  <si>
    <t>ALIMENTAÇÃO DE ÁGUA FRIA</t>
  </si>
  <si>
    <t>08.03.016</t>
  </si>
  <si>
    <t>TUBO PVC RÍGIDO JUNTA SOLDAVEL DE 25MM INCL CONEXÕES</t>
  </si>
  <si>
    <t>09.07.011</t>
  </si>
  <si>
    <t>CABO DE 10MM² - 750 V DE INSOLAÇÃO</t>
  </si>
  <si>
    <t xml:space="preserve">REATERRO INTERNO APILOADO                                               </t>
  </si>
  <si>
    <t>EXECUÇÃO DE PASSEIO (CALÇADA) OU PISO DE CONCRETO COM CONCRETO MOLDADO IN LOCO, FEITO EM OBRA, ACABAMENTO CONVENCIONAL, NÃO ARMADO. AF_08/2022</t>
  </si>
  <si>
    <t>43.10.050</t>
  </si>
  <si>
    <t>CONJUNTO MOTOR-BOMBA (CENTRÍFUGA) 10CV, MONOESTÁGIO TRIFÁSICO, HMAN= 24 A 36 MCA, Q= 53 A 45 M³/H</t>
  </si>
  <si>
    <t>08.08.002</t>
  </si>
  <si>
    <t>REGISTRO DE GAVETA BRUTO DN 65MM (2 1/2")</t>
  </si>
  <si>
    <t>08.08.041</t>
  </si>
  <si>
    <t>VALVULA DE RETENÇÃO HORIZ BRONZE DE 2 1/2"</t>
  </si>
  <si>
    <t>47.05.410</t>
  </si>
  <si>
    <t>JUNTA DE EXPANSÃO EM BRONZE/LATÃO, DN 66 MM, PONTA X PONTA, INSTALADO EM PRUMADA FORNECIMENTO E INSTALAÇÃO. AF_01/2016</t>
  </si>
  <si>
    <t>NIPLE, EM FERRO GALVANIZADO,  DN 65 (2 ½") - FORNECIMENTO E INSTALAÇÃO</t>
  </si>
  <si>
    <t>UNIÃO, EM FERRO GALVANIZADO, DN 65 (2 ½") - FORNECIMENTO E INSTALAÇÃO</t>
  </si>
  <si>
    <t>COLAR TOMADA PVC, COM TRAVAS, SAIDA COM ROSCA, DE 75 MM X 1/2" OU 75 MM X 3/4", PARA LIGACAO PREDIAL DE AGUA</t>
  </si>
  <si>
    <t>NIPLE, EM FERRO GALVANIZADO, DN 25 (1”) – FORNECIMENTO E INSTALAÇÃO</t>
  </si>
  <si>
    <t>50.01.320</t>
  </si>
  <si>
    <t>ABRIGO DE HIDRANTE DE 1 1/2´ COMPLETO ‐ INCLUSIVE MANGUEIRA DE 30 M (2 X 15 M)</t>
  </si>
  <si>
    <t>39.12.530</t>
  </si>
  <si>
    <t>TUBO DE AÇO GALVANIZADO COM COSTURA, CLASSE MÉDIA, DN 65 (2 1/2"), CONEXÃO ROSQUEADA, INSTALADO EM REDE DE ALIMENTAÇÃO PARA HIDRANTE - FORNECIMENTO E INSTALAÇÃO. AF_10/2020</t>
  </si>
  <si>
    <t>TÊ, EM FERRO GALVANIZADO, DN 65 (2 1/2") CONEXÃO ROSQUEADA, INSTALADO EM PLUMADAS - FORNECIMENTO E INSTALAÇÃO</t>
  </si>
  <si>
    <t>TÊ, EM FERRO GALVANIZADO, DN 80 (3"), CONEXÃO ROSQUEADA, INSTALADO EM PLUMADAS - FORNECIMENTO E INSTALAÇÃO</t>
  </si>
  <si>
    <t>JOELHO 90 GRAUS, EM FERRO GALVANIZADO, DN 65 (2 1/2") CONEXÃO ROSQUEADA, INSTALADO EM PLUMADAS - FORNECIMENTO E INSTALAÇÃO</t>
  </si>
  <si>
    <t>JOELHO 90 GRAUS, EM FERRO GALVANIZADO, DN 80 (3"), CONEXÃO ROSQUEADA, INSTALADO EM PLUMADAS - FORNECIMENTO E INSTALAÇÃO</t>
  </si>
  <si>
    <t>DEMOLIÇÃO E RECOMPOSIÇÃO DE CALÇADA</t>
  </si>
  <si>
    <t>SISTEMA DE ALARME DE INCÊNDIO, ELÉTRICO E ILUMINAÇÃO DE EMERGÊNCIA</t>
  </si>
  <si>
    <t>CENTRAL DE SISTEMA DE ALARME DE 13 A 24 ENDEREÇOS</t>
  </si>
  <si>
    <t>COMPOSIÇÃO PARAMÉTRICA DE PONTO ELÉTRICO DE ILUMINAÇÃO, COM INTERRUPTOR SIMPLES, EM EDIFÍCIO RESIDENCIAL COM ELETRODUTO EMBUTIDO EM RASGOS NAS PAREDES, INCLUSO TOMADA, ELETRODUTO, CABO, RASGO E CHUMBAMENTO (SEM LUMINÁRIA E LÂMPADA). AF_11/2022</t>
  </si>
  <si>
    <t>IL-83 ILUMINAÇÃO AUTONOMA DE EMERGÊNCIA – LED</t>
  </si>
  <si>
    <t>33.10.041</t>
  </si>
  <si>
    <t>ESMALTE A BASE DE ÁGUA EM MASSA, INCLUSIVE PREPARO</t>
  </si>
  <si>
    <t>ESCADA I - ACESSO SALA DE AULAS A SALÃO DO REFEITÓRIO</t>
  </si>
  <si>
    <t>16.35.004</t>
  </si>
  <si>
    <t>ESCARIFICACAO MECANICA,CORTE DE CONCRETO ATE 3,0CM PROFUNDIDADE</t>
  </si>
  <si>
    <t>03.04.030</t>
  </si>
  <si>
    <t>DESMONTAGEM DE ESTRUTURA METALICA</t>
  </si>
  <si>
    <t>FABRICAÇÃO DE FÔRMA PARA VIGAS, COM MADEIRA SERRADA, E = 25 MM. AF_09/2020</t>
  </si>
  <si>
    <t>MONTAGEM E DESMONTAGEM DE FÔRMA DE VIGA, ESCORAMENTO COM PONTALETE DE MADEIRA, PÉ-DIREITO SIMPLES, EM MADEIRA SERRADA, 2 UTILIZAÇÕES. AF_09/2020</t>
  </si>
  <si>
    <t>GRAUTEAMENTO DE CINTA SUPERIOR OU DE VERGA EM ALVENARIA ESTRUTURAL. AF_09/2021</t>
  </si>
  <si>
    <t>ESCADA II - ACESSO ÁREA ADMINISTRATIVA A COZINHA</t>
  </si>
  <si>
    <t>ARMAÇÃO DE BLOCO, VIGA BALDRAME OU SAPATA UTILIZANDO AÇO CA-50 DE 8 MM - MONTAGEM. AF_06/2017</t>
  </si>
  <si>
    <t>CORTE E DOBRA DE AÇO CA-60, DIÂMETRO DE 5,0 MM. AF_06/2022</t>
  </si>
  <si>
    <t>CONCRETO FCK = 25MPA, TRAÇO 1:2,3:2,7 (EM MASSA SECA DE CIMENTO/ AREIA MÉDIA/ BRITA 1) - PREPARO MECÂNICO COM BETONEIRA 600 L. AF_05/2021</t>
  </si>
  <si>
    <t>COMPOSIÇÃO PARAMÉTRICA PARA EXECUÇÃO DE ESCADA EM CONCRETO ARMADO, MOLDADA IN LOCO, FCK = 25 MPA. AF_11/2022</t>
  </si>
  <si>
    <t>GUARDA-CORPO DE AÇO GALVANIZADO DE 1,10M, MONTANTES TUBULARES DE 1.1/4 ESPAÇADOS DE 1,20M, TRAVESSA SUPERIOR DE 1.1/2, GRADIL FORMADO POR TUBOS HORIZONTAIS DE 1 E VERTICAIS DE 3/4, FIXADO COM CHUMBADOR MECÂNICO. AF_04/2019_PS</t>
  </si>
  <si>
    <t>PINTURA COM TINTA ALQUÍDICA DE FUNDO (TIPO ZARCÃO) PULVERIZADA SOBRE PERFIL METÁLICO EXECUTADO EM FÁBRICA (POR DEMÃO). AF_01/2020_PE (GUARDA CORPO)</t>
  </si>
  <si>
    <t>RAMPA I - ACESSO SALA DE AULAS A SALÃO DO REFEITÓRIO</t>
  </si>
  <si>
    <t>ALVENARIA DE VEDAÇÃO DE BLOCOS CERÂMICOS FURADOS NA HORIZONTAL DE 9X19X19 CM (ESPESSURA 9 CM) E ARGAMASSA DE ASSENTAMENTO COM PREPARO MANUAL. AF_12/2021</t>
  </si>
  <si>
    <t>CHAPISCO APLICADO EM ALVENARIAS E ESTRUTURAS DE CONCRETO INTERNAS, COM COLHER DE PEDREIRO. ARGAMASSA TRAÇO 1:3 COM PREPARO EM BETONEIRA 400L. AF_10/2022</t>
  </si>
  <si>
    <t>MASSA ÚNICA, PARA RECEBIMENTO DE PINTURA, EM ARGAMASSA TRAÇO 1:2:8, PREPARO MECÂNICO COM BETONEIRA 400L, APLICADA MANUALMENTE EM TETO, ESPESSURA DE 20MM, COM EXECUÇÃO DE TALISCAS. AF_03/2015</t>
  </si>
  <si>
    <t>RAMPA II - ACESSO DO SALÃO DO REFEITÓRIO A QUADRA</t>
  </si>
  <si>
    <t>RAMPA III - ACESSO DOS ALUNOS AO SALÃO DO REFEITÓRIO</t>
  </si>
  <si>
    <t xml:space="preserve">LAUDO DE INSTALAÇÃO/MANUTENÇÃO CMAR, CONFORME IT-10, INCLUSIVE ART/RRT. </t>
  </si>
  <si>
    <t xml:space="preserve">LAUDO DE INSTALAÇÃO/MANUTENÇÃO MEDIDAS CONTRA INCÊNDIO, INCLUSIVE ART/RRT. </t>
  </si>
  <si>
    <t xml:space="preserve">LAUDO DE INSTALAÇÃO/MANUTENÇÃO SISTEMA DE UTILIZAÇÃO DE GÁS INFLAMÁVEL, INCLUSIVE ART/RRT. </t>
  </si>
  <si>
    <t xml:space="preserve">LAUDO DE CONFORMIDADE INSTALAÇÕES ELÉTRICAS, CONFORME IT-41 INCLUSIVE ART/RRT. </t>
  </si>
  <si>
    <t xml:space="preserve">LAUDO DE CONFORMIDADE SPDA, CONFORME IT-41 INCLUSIVE ART/RRT. </t>
  </si>
  <si>
    <t>CABO DE COBRE FLEXÍVEL ISOLADO, 10 MM², 0,6/1,0 KV, PARA REDE AÉREA DE DISTRIBUIÇÃO DE ENERGIA ELÉTRICA DE BAIXA TENSÃO - FORNECIMENTO E INSTALAÇÃO. AF_07/2020 (AZUL CLARO)</t>
  </si>
  <si>
    <t>CABO DE COBRE FLEXÍVEL ISOLADO, 10 MM², 0,6/1,0 KV, PARA REDE AÉREA DE DISTRIBUIÇÃO DE ENERGIA ELÉTRICA DE BAIXA TENSÃO - FORNECIMENTO E INSTALAÇÃO. AF_07/2020 (PRETO OU VERMELHO)</t>
  </si>
  <si>
    <t>CABO DE COBRE FLEXÍVEL ISOLADO, 16 MM², 0,6/1,0 KV, PARA REDE AÉREA DE DISTRIBUIÇÃO DE ENERGIA ELÉTRICA DE BAIXA TENSÃO - FORNECIMENTO E INSTALAÇÃO. AF_07/2020 (PRETO OU VERMELHO)</t>
  </si>
  <si>
    <t>CABO DE COBRE FLEXÍVEL ISOLADO, 16 MM², 0,6/1,0 KV, PARA REDE AÉREA DE DISTRIBUIÇÃO DE ENERGIA ELÉTRICA DE BAIXA TENSÃO - FORNECIMENTO E INSTALAÇÃO. AF_07/2020 (AZUL CLARO)</t>
  </si>
  <si>
    <t>CABO DE COBRE FLEXÍVEL ISOLADO, 16 MM², 0,6/1,0 KV, PARA REDE AÉREA DE DISTRIBUIÇÃO DE ENERGIA ELÉTRICA DE BAIXA TENSÃO - FORNECIMENTO E INSTALAÇÃO. AF_07/2020 (VERDE/AMARELO OU VERDE)</t>
  </si>
  <si>
    <t>CABO DE COBRE FLEXÍVEL ISOLADO, 25 MM², 0,6/1,0 KV, PARA REDE AÉREA DE DISTRIBUIÇÃO DE ENERGIA ELÉTRICA DE BAIXA TENSÃO - FORNECIMENTO E INSTALAÇÃO. AF_07/2020 (AZUL CLARO)</t>
  </si>
  <si>
    <t>CABO DE COBRE FLEXÍVEL ISOLADO, 25 MM², 0,6/1,0 KV, PARA REDE AÉREA DE DISTRIBUIÇÃO DE ENERGIA ELÉTRICA DE BAIXA TENSÃO - FORNECIMENTO E INSTALAÇÃO. AF_07/2020 (PRETO OU VERMELHO)</t>
  </si>
  <si>
    <t>CABO DE COBRE FLEXÍVEL ISOLADO, 1,5 MM², ANTI-CHAMA 450/750 V, PARA CIRCUITOS TERMINAIS - FORNECIMENTO E INSTALAÇÃO. AF_12/2015 (PRETO OU VERMELHO)</t>
  </si>
  <si>
    <t>CABO DE COBRE FLEXÍVEL ISOLADO, 1,5 MM², ANTI-CHAMA 450/750 V, PARA CIRCUITOS TERMINAIS - FORNECIMENTO E INSTALAÇÃO. AF_12/2015 (BRANCO OU AMARELO)</t>
  </si>
  <si>
    <t>CABO DE COBRE FLEXÍVEL ISOLADO, 1,5 MM², ANTI-CHAMA 450/750 V, PARA CIRCUITOS TERMINAIS - FORNECIMENTO E INSTALAÇÃO. AF_12/2015 (VERDE/AMARELO OU VERDE)</t>
  </si>
  <si>
    <t>CABO DE COBRE FLEXÍVEL ISOLADO, 1,5 MM², ANTI-CHAMA 450/750 V, PARA CIRCUITOS TERMINAIS - FORNECIMENTO E INSTALAÇÃO. AF_12/2015 (AZUL CLARO)</t>
  </si>
  <si>
    <t>CABO DE COBRE FLEXÍVEL ISOLADO, 2,5 MM², ANTI-CHAMA 450/750 V, PARA CIRCUITOS TERMINAIS - FORNECIMENTO E INSTALAÇÃO. AF_12/2015 (PRETO OU VERMELHO)</t>
  </si>
  <si>
    <t>CABO DE COBRE FLEXÍVEL ISOLADO, 2,5 MM², ANTI-CHAMA 450/750 V, PARA CIRCUITOS TERMINAIS - FORNECIMENTO E INSTALAÇÃO. AF_12/2015 (VERDE/AMARELO OU VERDE)</t>
  </si>
  <si>
    <t>CABO DE COBRE FLEXÍVEL ISOLADO, 2,5 MM², ANTI-CHAMA 450/750 V, PARA CIRCUITOS TERMINAIS - FORNECIMENTO E INSTALAÇÃO. AF_12/2015 (AZUL CLARO)</t>
  </si>
  <si>
    <t>CABO DE COBRE FLEXÍVEL ISOLADO, 4 MM², ANTI-CHAMA 450/750 V, PARA CIRCUITOS TERMINAIS - FORNECIMENTO E INSTALAÇÃO. AF_12/2015 (VERDE/AMARELO OU VERDE)</t>
  </si>
  <si>
    <t>CABO DE COBRE FLEXÍVEL ISOLADO, 4 MM², ANTI-CHAMA 450/750 V, PARA CIRCUITOS TERMINAIS - FORNECIMENTO E INSTALAÇÃO. AF_12/2015 (AZUL CLARO)</t>
  </si>
  <si>
    <t>CABO DE COBRE FLEXÍVEL ISOLADO, 4 MM², ANTI-CHAMA 450/750 V, PARA CIRCUITOS TERMINAIS - FORNECIMENTO E INSTALAÇÃO. AF_12/2015 (PRETO OU VERMELHO)</t>
  </si>
  <si>
    <t>CABO DE COBRE FLEXÍVEL ISOLADO, 6 MM², ANTI-CHAMA 450/750 V, PARA CIRCUITOS TERMINAIS - FORNECIMENTO E INSTALAÇÃO. AF_12/2015 (PRETO OU VERMELHO)</t>
  </si>
  <si>
    <t>CABO DE COBRE FLEXÍVEL ISOLADO, 6 MM², ANTI-CHAMA 450/750 V, PARA CIRCUITOS TERMINAIS - FORNECIMENTO E INSTALAÇÃO. AF_12/2015 (VERDE/AMARELO OU VERDE)</t>
  </si>
  <si>
    <t>CABO DE COBRE FLEXÍVEL ISOLADO, 6 MM², ANTI-CHAMA 450/750 V, PARA CIRCUITOS TERMINAIS - FORNECIMENTO E INSTALAÇÃO. AF_12/2015 (AZUL CLARO)</t>
  </si>
  <si>
    <t>CABO DE COBRE FLEXÍVEL ISOLADO, 10 MM², ANTI-CHAMA 450/750 V, PARA DISTRIBUIÇÃO - FORNECIMENTO E INSTALAÇÃO. AF_12/2015 (AZUL CLARO)</t>
  </si>
  <si>
    <t>CABO DE COBRE FLEXÍVEL ISOLADO, 10 MM², ANTI-CHAMA 450/750 V, PARA DISTRIBUIÇÃO - FORNECIMENTO E INSTALAÇÃO. AF_12/2015 (PRETO OU VERMELHO)</t>
  </si>
  <si>
    <t>CABO DE COBRE FLEXÍVEL ISOLADO, 10 MM², ANTI-CHAMA 450/750 V, PARA DISTRIBUIÇÃO - FORNECIMENTO E INSTALAÇÃO. AF_12/2015  (VERDE/AMARELO OU VERDE)</t>
  </si>
  <si>
    <t>CABO DE COBRE FLEXÍVEL ISOLADO, 16 MM², ANTI-CHAMA 450/750 V, PARA DISTRIBUIÇÃO - FORNECIMENTO E INSTALAÇÃO. AF_12/2015 (VERDE/AMARELO OU VERDE)</t>
  </si>
  <si>
    <t>PADRÃO DE ENTRADA</t>
  </si>
  <si>
    <t>INSTALAÇÃO ELÉTRICAS</t>
  </si>
  <si>
    <t>REDE LÓGICA E TELEFONIA</t>
  </si>
  <si>
    <t>ELETRODUTO FLEXÍVEL CORRUGADO REFORÇADO, PVC, DN 32 MM (1"), PARA CIRCUITOS TERMINAIS, INSTALADO EM FORRO - FORNECIMENTO E INSTALAÇÃO. AF_12/2015</t>
  </si>
  <si>
    <t>ELETRODUTO RÍGIDO ROSCÁVEL, PVC, DN 60 MM (2"), PARA REDE ENTERRADA DE DISTRIBUIÇÃO DE ENERGIA ELÉTRICA - FORNECIMENTO E INSTALAÇÃO. AF_12/2021</t>
  </si>
  <si>
    <t>ELETRODUTO FLEXÍVEL CORRUGADO, PEAD, DN 40 MM (1 1/4"), PARA CIRCUITOS TERMINAIS, INSTALADO EM LAJE - FORNECIMENTO E INSTALAÇÃO. AF_12/2015</t>
  </si>
  <si>
    <t>C.D.H.U.</t>
  </si>
  <si>
    <t>40.07.010</t>
  </si>
  <si>
    <t>CAIXA EM PVC DE 4'' X 2''</t>
  </si>
  <si>
    <t>UN</t>
  </si>
  <si>
    <t>40.07.020</t>
  </si>
  <si>
    <t>CAIXA EM PVC DE 4'' X 4''</t>
  </si>
  <si>
    <t>ACESSÓRIOS</t>
  </si>
  <si>
    <t>ACESSÓRIOS E ELETRODUTOS</t>
  </si>
  <si>
    <t>ELETRODUTOS</t>
  </si>
  <si>
    <t>40.04.450</t>
  </si>
  <si>
    <t>TOMADA 2P+T DE 10 A ‐ 250 V, COMPLETA</t>
  </si>
  <si>
    <t>40.04.460</t>
  </si>
  <si>
    <t>TOMADA 2P+T DE 20 A ‐ 250 V, COMPLETA</t>
  </si>
  <si>
    <t>DISJUNTOR MONOPOLAR TIPO NEMA, CORRENTE NOMINAL DE 10 ATÉ 30A - FORNECIMENTO E INSTALAÇÃO. AF_10/2020</t>
  </si>
  <si>
    <t>DISJUNTOR BIPOLAR TIPO NEMA, CORRENTE NOMINAL DE 10 ATÉ 50A - FORNECIMENTO E INSTALAÇÃO. AF_10/2020</t>
  </si>
  <si>
    <t>DISJUNTOR TRIPOLAR TIPO NEMA, CORRENTE NOMINAL DE 10 ATÉ 50A - FORNECIMENTO E INSTALAÇÃO. AF_10/2020</t>
  </si>
  <si>
    <t>DISJUNTOR TRIPOLAR TIPO NEMA, CORRENTE NOMINAL DE 60 ATÉ 100A - FORNECIMENTO E INSTALAÇÃO. AF_10/2020</t>
  </si>
  <si>
    <t>09.09.030</t>
  </si>
  <si>
    <t>F.D.E.</t>
  </si>
  <si>
    <t>LUMINÁRIA SOBREPOR LED TUBULAR VIDRO 1X18W TEMPERATURA DE COR 4000ºK</t>
  </si>
  <si>
    <t>09.09.014</t>
  </si>
  <si>
    <t>IL-103 ARANDELA PARA CIRCULAÇÕES COM LÂMPADA BULBO LED &lt;=13W.</t>
  </si>
  <si>
    <t>40.11.010</t>
  </si>
  <si>
    <t>RELÉ FOTOELÉTRICO 50/60 HZ, 110/220 V, 1200 VA, COMPLETO</t>
  </si>
  <si>
    <t>INTERRUPTOR SIMPLES (1 MÓDULO), 10A/250V, INCLUINDO SUPORTE E PLACA - FORNECIMENTO E INSTALAÇÃO. AF_12/2015</t>
  </si>
  <si>
    <t>INTERRUPTOR SIMPLES (2 MÓDULOS), 10A/250V, INCLUINDO SUPORTE E PLACA - FORNECIMENTO E INSTALAÇÃO. AF_12/2015</t>
  </si>
  <si>
    <t>INTERRUPTOR SIMPLES (3 MÓDULOS), 10A/250V, SEM SUPORTE E SEM PLACA - FORNECIMENTO E INSTALAÇÃO. AF_12/2015</t>
  </si>
  <si>
    <t xml:space="preserve">UN </t>
  </si>
  <si>
    <t>QUADRO DE DISTRIBUIÇÃO DE ENERGIA EM CHAPA DE AÇO GALVANIZADO, DE EMBUTIR, COM BARRAMENTO TRIFÁSICO, PARA 30 DISJUNTORES DIN 225A - FORNECIMENTO E INSTALAÇÃO. AF_10/2020</t>
  </si>
  <si>
    <t>39.04.070</t>
  </si>
  <si>
    <t>CABO DE COBRE NU, TÊMPERA MOLE, CLASSE 2, DE 35mm²</t>
  </si>
  <si>
    <t>42.05.440</t>
  </si>
  <si>
    <t>BARRA CONDUTORA CHATA EM ALUMÍNIO DE 7/8´ X 1/8´, INCLUSIVE ACESSÓRIOS DE FIXAÇÃO</t>
  </si>
  <si>
    <t>42.05.380</t>
  </si>
  <si>
    <t>CAIXA DE EQUALIZAÇÃO, DE EMBUTIR, EM AÇO COM BARRAMENTO, DE 200 X 200 MM E TAMPA</t>
  </si>
  <si>
    <t>42.05.310</t>
  </si>
  <si>
    <t>CAIXA DE INSPEÇÃO DO TERRA CILÍNDRICA EM PVC RÍGIDO, DIÂMETRO DE 300 MM - H= 250 MM</t>
  </si>
  <si>
    <t>HASTE DE ATERRAMENTO 5/8 PARA SPDA - FORNECIMENTO E INSTALAÇÃO. AF_12/2017</t>
  </si>
  <si>
    <t>42.05.300</t>
  </si>
  <si>
    <t>TAMPA PARA CAIXA DE INSPEÇÃO CILÍNDRICA, AÇO GALVANIZADO</t>
  </si>
  <si>
    <t>42.20.190</t>
  </si>
  <si>
    <t>SOLDA EXOTÉRMICA CONEXÃO CABO-HASTE EM X SOBREPOSTO, BITOLA DO CABO DE 35MM² A 50MM² PARA HASTE DE 5/8" E 3/4"</t>
  </si>
  <si>
    <t>CAPTOR TIPO FRANKLIN PARA SPDA - FORNECIMENTO E INSTALAÇÃO. AF_12/2017</t>
  </si>
  <si>
    <t>TOMADA DE REDE RJ45 - FORNECIMENTO E INSTALAÇÃO. AF_11/2019</t>
  </si>
  <si>
    <t>TOMADA PARA TELEFONE RJ11 - FORNECIMENTO E INSTALAÇÃO. AF_11/2019</t>
  </si>
  <si>
    <t>66.08.110</t>
  </si>
  <si>
    <t>RACK FECHADO PADRÃO METÁLICO, 19 X 20 US X 470 MM</t>
  </si>
  <si>
    <t>66.20.225</t>
  </si>
  <si>
    <t>SWITCH GIGABIT 24 PORTAS COM CAPACIDADE DE 10/100/1000/MBPS</t>
  </si>
  <si>
    <t>69.09.260</t>
  </si>
  <si>
    <t>VOICE PANEL DE 24 PORTAS - CATEGORIA 6</t>
  </si>
  <si>
    <t>39.18.120</t>
  </si>
  <si>
    <t>CABO PARA REDE U/UTP 23 AWG COM 4 PARES - CATEGORIA 6A</t>
  </si>
  <si>
    <t>PATCH PANEL DE 24 PORTAS - CATEGORIA 6</t>
  </si>
  <si>
    <t>CAIXA DE PASSAGEM PARA TELEFONE 15X15X10CM (SOBREPOR), FORNECIMENTO E INSTALACAO. AF_11/2019</t>
  </si>
  <si>
    <t>QUADRO DE DISTRIBUICAO PARA TELEFONE N.3, 40X40X12CM EM CHAPA METALICA, DE EMBUTIR, SEM ACESSORIOS, PADRAO TELEBRAS, FORNECIMENTO E INSTALAÇÃO. AF_11/2019</t>
  </si>
  <si>
    <t>04.21.130</t>
  </si>
  <si>
    <t>REMOÇÃO DE POSTE DE CONCRETO</t>
  </si>
  <si>
    <t>SISTEMA DE PROTEÇÃO CONTRA DESCARGAS ATMOSFÉRICAS (SPDA) E ATERRAMENTO</t>
  </si>
  <si>
    <t>ELETRODUTO RÍGIDO ROSCÁVEL, PVC, DN 75 MM (2 1/2"), PARA REDE DE DISTRIBUIÇÃO DE ENERGIA ELÉTRICA - FORNECIMENTO E INSTALAÇÃO. AF_12/2021</t>
  </si>
  <si>
    <t>ELETRODUTO RÍGIDO ROSCÁVEL, PVC, DN 50 MM (1 1/2"), PARA REDE DE DISTRIBUIÇÃO DE ENERGIA ELÉTRICA - FORNECIMENTO E INSTALAÇÃO. AF_12/2021</t>
  </si>
  <si>
    <t>COMPOSIÇÃO PARAMÉTRICA DE PONTO ELÉTRICO DE TOMADA DE USO GERAL 2P+T (10A/250V) EM EDIFÍCIO RESIDENCIAL COM ELETRODUTO EMBUTIDO EM RASGOS NAS PAREDES, INCLUSO TOMADA, ELETRODUTO, CABO, RASGO, QUEBRA E CHUMBAMENTO. AF_11/2022</t>
  </si>
  <si>
    <t>REMOÇÃO DE CABOS ELÉTRICOS, DE FORMA MANUAL, SEM REAPROVEITAMENTO. AF_12/2017</t>
  </si>
  <si>
    <t>2.1</t>
  </si>
  <si>
    <t>DEMOLIÇÃO MANUAL DE PAINÉIS DIVISÓRIAS, INCLUSIVE MONTANTES METÁLICOS</t>
  </si>
  <si>
    <t>03.08.200</t>
  </si>
  <si>
    <t>08.60.007</t>
  </si>
  <si>
    <t>RETIRADA DE HIDRANTE DE PAREDE COMPLETO</t>
  </si>
  <si>
    <t>08.60.015</t>
  </si>
  <si>
    <t>RETIRADA DE PEÇAS LINEARES EM MADEIRA COM SEÇÃO ATÉ 60 CM²</t>
  </si>
  <si>
    <t>DEMOLIÇÃO SOMENTE DE AZULEJO</t>
  </si>
  <si>
    <t>12.50.003</t>
  </si>
  <si>
    <t>DEMOLIÇÃO RODAPES EM GERAL INCLUSIVE ARGAMASSA ASSENTAMENTO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</si>
  <si>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</si>
  <si>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RODAPÉ EM GRANILITE, ALTURA 10CM. AF_09/2020</t>
  </si>
  <si>
    <t>PAREDE COM PLACAS DE GESSO ACARTONADO (DRYWALL), PARA USO INTERNO, COM DUAS FACES SIMPLES E ESTRUTURA METÁLICA COM GUIAS SIMPLES, COM VÃOS AF_06/2017_PS</t>
  </si>
  <si>
    <t>FORRO EM DRYWALL, PARA AMBIENTES COMERCIAIS, INCLUSIVE ESTRUTURA DE FIXAÇÃO. AF_05/2017_PS</t>
  </si>
  <si>
    <t>KIT DE PORTA DE MADEIRA PARA PINTURA, SEMI-OCA (LEVE OU MÉDIA), PADRÃO MÉDIO, 80X210CM, ESPESSURA DE 3,5CM, ITENS INCLUSOS: DOBRADIÇAS, MONTAGEM E INSTALAÇÃO DO BATENTE, FECHADURA COM EXECUÇÃO DO FURO - FORNECIMENTO E INSTALAÇÃO. AF_12/2019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</si>
  <si>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</si>
  <si>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APLICAÇÃO E LIXAMENTO DE MASSA LÁTEX EM PAREDES, UMA DEMÃO. AF_06/2014</t>
  </si>
  <si>
    <t>33.03.220</t>
  </si>
  <si>
    <t>TINTA LÁTEX EM MASSA, INCLUSIVE PREPARO (DRYWALL)</t>
  </si>
  <si>
    <t>MASSA CORRIDA À BASE DE RESINA ACRÍLICA (DRYWALL)</t>
  </si>
  <si>
    <t>PINTURA TINTA DE ACABAMENTO (PIGMENTADA) ESMALTE SINTÉTICO ACETINADO EM MADEIRA, 2 DEMÃOS. AF_01/2021</t>
  </si>
  <si>
    <t>ESMALTE EM ESQUADRIAS DE FERRO INCLUSIVE PREPARO E RETOQUES DE ZARCAO</t>
  </si>
  <si>
    <t>TORNEIRA CURTA COM ROSCA PARA USO GERAL, EM LATÃO FUNDIDO CROMADO, DN=3/4´</t>
  </si>
  <si>
    <t>ARMÁRIO SOB MEDIDA EM COMPENSADO DE MADEIRA TOTALMENTE REVESTIDO EM FOLHEADO DE MADEIRA, COMPLETO</t>
  </si>
  <si>
    <t>23.08.210</t>
  </si>
  <si>
    <t>RETIRADA DE ARMÁRIO EM MADEIRA OU METAL</t>
  </si>
  <si>
    <t>04.08.100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</si>
  <si>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</si>
  <si>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</si>
  <si>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</si>
  <si>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</si>
  <si>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</si>
  <si>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</si>
  <si>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</si>
  <si>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</si>
  <si>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</si>
  <si>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</si>
  <si>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</si>
  <si>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</si>
  <si>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</si>
  <si>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</si>
  <si>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</si>
  <si>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</si>
  <si>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</si>
  <si>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</si>
  <si>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</si>
  <si>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</si>
  <si>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</si>
  <si>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</si>
  <si>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</si>
  <si>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</si>
  <si>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</si>
  <si>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</si>
  <si>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</si>
  <si>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</si>
  <si>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</si>
  <si>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</si>
  <si>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</si>
  <si>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2.2</t>
  </si>
  <si>
    <t>SUBTOTAL 2.1</t>
  </si>
  <si>
    <t>SUBTOTAL 2.2</t>
  </si>
  <si>
    <t>2.3</t>
  </si>
  <si>
    <t>2.3.1</t>
  </si>
  <si>
    <t>2.3.5</t>
  </si>
  <si>
    <t>2.3.10</t>
  </si>
  <si>
    <t>2.3.11</t>
  </si>
  <si>
    <t>2.3.13</t>
  </si>
  <si>
    <t>2.3.14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</si>
  <si>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</si>
  <si>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</si>
  <si>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</si>
  <si>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</si>
  <si>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</si>
  <si>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</si>
  <si>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</si>
  <si>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</si>
  <si>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</si>
  <si>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</si>
  <si>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</si>
  <si>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</si>
  <si>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</si>
  <si>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</si>
  <si>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</si>
  <si>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</si>
  <si>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</si>
  <si>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BANCADA/BANCA/PIA DE ACO INOXIDAVEL (AISI 430) COM 1 CUBA CENTRAL, COM VALVULA, ESCORREDOR DUPLO, DE *0,55 X 1,80* M</t>
  </si>
  <si>
    <t>REMOÇÃO DE PORTAS, DE FORMA MANUAL, SEM REAPROVEITAMENTO. AF_12/2017</t>
  </si>
  <si>
    <t>PORTA DE CORRER DE ALUMÍNIO, COM DUAS FOLHAS PARA VIDRO, INCLUSO VIDRO LISO INCOLOR, FECHADURA E PUXADOR, SEM ALIZAR. AF_12/2019</t>
  </si>
  <si>
    <t>PINTURA PARA ESTRUTURA DE ALUMINIO C/ TINTA ESMALTE AUTOMOTIVA</t>
  </si>
  <si>
    <t>15.01.005</t>
  </si>
  <si>
    <t>SUBTOTAL 2.3</t>
  </si>
  <si>
    <t>2.3.2</t>
  </si>
  <si>
    <t>2.3.3</t>
  </si>
  <si>
    <t>2.3.4</t>
  </si>
  <si>
    <t>2.3.6</t>
  </si>
  <si>
    <t>2.3.7</t>
  </si>
  <si>
    <t>2.3.8</t>
  </si>
  <si>
    <t>2.3.9</t>
  </si>
  <si>
    <t>2.3.12</t>
  </si>
  <si>
    <t>2.4</t>
  </si>
  <si>
    <t>DEMOLIÇÃO MANUAL DE ALVENARIA DE ELEVAÇÃO OU ELEMENTO VAZADO, INCLUINDO
REVESTIMENTO</t>
  </si>
  <si>
    <t>03.02.040</t>
  </si>
  <si>
    <t>RETIRADA DE APARELHO SANITÁRIO INCLUINDO ACESSÓRIOS</t>
  </si>
  <si>
    <t>04.11.020</t>
  </si>
  <si>
    <t>REMOÇÃO DE LOUÇAS, DE FORMA MANUAL, SEM REAPROVEITAMENTO. AF_12/2017</t>
  </si>
  <si>
    <t>REMOÇÃO DE ACESSÓRIOS, DE FORMA MANUAL, SEM REAPROVEITAMENTO. AF_12/2017</t>
  </si>
  <si>
    <t>DIVISORIA SANITÁRIA, TIPO CABINE, EM PAINEL DE GRANILITE, ESP = 3CM, ASSENTADO COM ARGAMASSA COLANTE AC III-E, EXCLUSIVE FERRAGENS. AF_01/2021</t>
  </si>
  <si>
    <t>EMBOÇO, PARA RECEBIMENTO DE CERÂMICA, EM ARGAMASSA TRAÇO 1:2:8, PREPARO MANUAL, APLICADO MANUALMENTE EM FACES INTERNAS DE PAREDES, PARA AMBIENTE COM ÁREA ENTRE 5M2 E 10M2, ESPESSURA DE 20MM, COM EXECUÇÃO DE TALISCAS. AF_06/2014</t>
  </si>
  <si>
    <t>REVESTIMENTO CERÂMICO PARA PAREDES INTERNAS COM PLACAS TIPO ESMALTADA EXTRA DE DIMENSÕES 25X35 CM APLICADAS EM AMBIENTES DE ÁREA MENOR QUE 5M² NA ALTURA INTEIRA DAS PAREDES. AF_06/2014</t>
  </si>
  <si>
    <t>LAVATÓRIO LOUÇA BRANCA COM COLUNA, 45 X 55CM OU EQUIVALENTE, PADRÃO MÉDIO - FORNECIMENTO E INSTALAÇÃO. AF_01/2020</t>
  </si>
  <si>
    <t>VASO SANITARIO SIFONADO CONVENCIONAL COM LOUÇA BRANCA, INCLUSO CONJUNTO DE LIGAÇÃO PARA BACIA SANITÁRIA AJUSTÁVEL - FORNECIMENTO E INSTALAÇÃO. AF_10/2016</t>
  </si>
  <si>
    <t>MICTÓRIO SIFONADO LOUÇA BRANCA PADRÃO MÉDIO FORNECIMENTO E INSTALAÇÃO. AF_01/2020</t>
  </si>
  <si>
    <t>PORTA TOALHA ROSTO EM METAL CROMADO, TIPO ARGOLA, INCLUSO FIXAÇÃO. AF_01/2020</t>
  </si>
  <si>
    <t>PAPELEIRA DE PAREDE EM METAL CROMADO SEM TAMPA, INCLUSO FIXAÇÃO. AF_01/2020</t>
  </si>
  <si>
    <t>SABONETEIRA DE PAREDE EM METAL CROMADO, INCLUSO FIXAÇÃO. AF_01/2020</t>
  </si>
  <si>
    <t>2.4.1</t>
  </si>
  <si>
    <t>2.4.5</t>
  </si>
  <si>
    <t>2.4.2</t>
  </si>
  <si>
    <t>2.4.4</t>
  </si>
  <si>
    <t>2.4.3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</si>
  <si>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</si>
  <si>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</si>
  <si>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</si>
  <si>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</si>
  <si>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</si>
  <si>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</si>
  <si>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</si>
  <si>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</si>
  <si>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</si>
  <si>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</si>
  <si>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2.4.16</t>
  </si>
  <si>
    <t>2.4.17</t>
  </si>
  <si>
    <t>2.4.18</t>
  </si>
  <si>
    <t>2.4.19</t>
  </si>
  <si>
    <t>2.4.20</t>
  </si>
  <si>
    <t>2.4.21</t>
  </si>
  <si>
    <t>2.4.22</t>
  </si>
  <si>
    <t>2.4.23</t>
  </si>
  <si>
    <t>2.4.24</t>
  </si>
  <si>
    <t>2.4.25</t>
  </si>
  <si>
    <t>2.4.26</t>
  </si>
  <si>
    <t>2.4.27</t>
  </si>
  <si>
    <t>2.4.28</t>
  </si>
  <si>
    <t>2.4.29</t>
  </si>
  <si>
    <t>2.4.30</t>
  </si>
  <si>
    <t>2.4.31</t>
  </si>
  <si>
    <t>SUBTOTAL 2.4</t>
  </si>
  <si>
    <t>PORTA EM AÇO DE ABRIR TIPO VENEZIANA SEM GUARNIÇÃO, 87X210CM, FIXAÇÃO COM PARAFUSOS - FORNECIMENTO E INSTALAÇÃO. AF_12/2019</t>
  </si>
  <si>
    <t>2.5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</si>
  <si>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</si>
  <si>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</si>
  <si>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</si>
  <si>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</si>
  <si>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</si>
  <si>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</si>
  <si>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</si>
  <si>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</si>
  <si>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2.5.9</t>
  </si>
  <si>
    <t>2.5.10</t>
  </si>
  <si>
    <t>2.5.11</t>
  </si>
  <si>
    <t>2.5.12</t>
  </si>
  <si>
    <t>2.5.13</t>
  </si>
  <si>
    <t>2.5.14</t>
  </si>
  <si>
    <t>2.5.15</t>
  </si>
  <si>
    <t>2.5.16</t>
  </si>
  <si>
    <t>2.5.17</t>
  </si>
  <si>
    <t>SUBTOTAL 2.5</t>
  </si>
  <si>
    <t>2.6</t>
  </si>
  <si>
    <t>COORDENAÇÃO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</si>
  <si>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</si>
  <si>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</si>
  <si>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</si>
  <si>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</si>
  <si>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</si>
  <si>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</si>
  <si>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</si>
  <si>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</si>
  <si>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</si>
  <si>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</si>
  <si>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</si>
  <si>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2.6.12</t>
  </si>
  <si>
    <t>2.6.13</t>
  </si>
  <si>
    <t>2.6.14</t>
  </si>
  <si>
    <t>2.6.15</t>
  </si>
  <si>
    <t>2.6.16</t>
  </si>
  <si>
    <t>2.6.17</t>
  </si>
  <si>
    <t>SUBTOTAL 2.6</t>
  </si>
  <si>
    <t>2.7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</si>
  <si>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</si>
  <si>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</si>
  <si>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</si>
  <si>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</si>
  <si>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</si>
  <si>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</si>
  <si>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</si>
  <si>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</si>
  <si>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2.7.9</t>
  </si>
  <si>
    <t>2.7.10</t>
  </si>
  <si>
    <t>2.7.11</t>
  </si>
  <si>
    <t>2.7.12</t>
  </si>
  <si>
    <t>2.7.13</t>
  </si>
  <si>
    <t>2.7.14</t>
  </si>
  <si>
    <t>2.7.15</t>
  </si>
  <si>
    <t>2.7.16</t>
  </si>
  <si>
    <t>2.7.17</t>
  </si>
  <si>
    <t>2.7.18</t>
  </si>
  <si>
    <t>2.7.19</t>
  </si>
  <si>
    <t>2.7.20</t>
  </si>
  <si>
    <t>2.7.21</t>
  </si>
  <si>
    <t>2.7.22</t>
  </si>
  <si>
    <t>2.7.23</t>
  </si>
  <si>
    <t>2.7.24</t>
  </si>
  <si>
    <t>2.7.25</t>
  </si>
  <si>
    <t>2.7.26</t>
  </si>
  <si>
    <t>SUBTOTAL 2.7</t>
  </si>
  <si>
    <t>RETIRADA DE ELEMENTO EM MADEIRA E SISTEMA DE FIXAÇÃO TIPO QUADRO, LOUSA, ETC.</t>
  </si>
  <si>
    <t>FORRO EM RÉGUAS DE PVC, FRISADO, PARA AMBIENTES COMERCIAIS, INCLUSIVE ESTRUTURA DE FIXAÇÃO. AF_05/2017_PS</t>
  </si>
  <si>
    <t>PINTURA ESPECIAL EM ESMALTE PARA LOUSA COR VERDE</t>
  </si>
  <si>
    <t>33.03.350</t>
  </si>
  <si>
    <t>ESMALTE À BASE DE ÁGUA EM MASSA, INCLUSIVE PREPARO</t>
  </si>
  <si>
    <t>07.01.098</t>
  </si>
  <si>
    <t>DEMOLICAO PISO DE CONCRETO SIMPLES CAPEADO</t>
  </si>
  <si>
    <t>PINTURA TINTA DE ACABAMENTO (PIGMENTADA) ESMALTE SINTÉTICO ACETINADO EM MADEIRA, 2 DEMÃOS. AF_01/2021 (MADEIRA MACIÇA)</t>
  </si>
  <si>
    <t>PINTURA TINTA DE ACABAMENTO (PIGMENTADA) ESMALTE SINTÉTICO ACETINADO EM MADEIRA, 2 DEMÃOS. AF_01/2021 (PINTURA DE PORTA)</t>
  </si>
  <si>
    <t>PEÇAS DE MADEIRA MACIÇA</t>
  </si>
  <si>
    <t>PORTA GIZ, INCLUSIVE SUPORTES</t>
  </si>
  <si>
    <t>2.8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</si>
  <si>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</si>
  <si>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</si>
  <si>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</si>
  <si>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</si>
  <si>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</si>
  <si>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</si>
  <si>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</si>
  <si>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</si>
  <si>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</si>
  <si>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2.8.10</t>
  </si>
  <si>
    <t>2.8.11</t>
  </si>
  <si>
    <t>2.8.12</t>
  </si>
  <si>
    <t>2.8.13</t>
  </si>
  <si>
    <t>2.8.14</t>
  </si>
  <si>
    <t>2.8.15</t>
  </si>
  <si>
    <t>2.8.16</t>
  </si>
  <si>
    <t>2.8.17</t>
  </si>
  <si>
    <t>2.8.18</t>
  </si>
  <si>
    <t>2.8.19</t>
  </si>
  <si>
    <t>2.8.20</t>
  </si>
  <si>
    <t>2.8.21</t>
  </si>
  <si>
    <t>2.8.22</t>
  </si>
  <si>
    <t>2.8.23</t>
  </si>
  <si>
    <t>2.8.24</t>
  </si>
  <si>
    <t>2.8.25</t>
  </si>
  <si>
    <t>2.8.26</t>
  </si>
  <si>
    <t>SUBTOTAL 2.8</t>
  </si>
  <si>
    <t>2.9</t>
  </si>
  <si>
    <t>2.9.1</t>
  </si>
  <si>
    <t>2.9.2</t>
  </si>
  <si>
    <t>2.9.3</t>
  </si>
  <si>
    <t>2.9.4</t>
  </si>
  <si>
    <t>2.9.5</t>
  </si>
  <si>
    <t>2.9.6</t>
  </si>
  <si>
    <t>2.9.7</t>
  </si>
  <si>
    <t>2.9.8</t>
  </si>
  <si>
    <t>2.9.9</t>
  </si>
  <si>
    <t>2.9.10</t>
  </si>
  <si>
    <t>2.9.11</t>
  </si>
  <si>
    <t>2.9.12</t>
  </si>
  <si>
    <t>2.9.13</t>
  </si>
  <si>
    <t>2.9.14</t>
  </si>
  <si>
    <t>2.9.15</t>
  </si>
  <si>
    <t>2.9.16</t>
  </si>
  <si>
    <t>2.9.17</t>
  </si>
  <si>
    <t>2.9.18</t>
  </si>
  <si>
    <t>2.9.19</t>
  </si>
  <si>
    <t>2.9.20</t>
  </si>
  <si>
    <t>2.9.21</t>
  </si>
  <si>
    <t>2.9.22</t>
  </si>
  <si>
    <t>2.9.23</t>
  </si>
  <si>
    <t>2.9.24</t>
  </si>
  <si>
    <t>2.9.25</t>
  </si>
  <si>
    <t>2.9.26</t>
  </si>
  <si>
    <t>SUBTOTAL 2.9</t>
  </si>
  <si>
    <t>2.10</t>
  </si>
  <si>
    <t>2.10.1</t>
  </si>
  <si>
    <t>2.10.2</t>
  </si>
  <si>
    <t>2.10.3</t>
  </si>
  <si>
    <t>2.10.4</t>
  </si>
  <si>
    <t>2.10.5</t>
  </si>
  <si>
    <t>2.10.6</t>
  </si>
  <si>
    <t>2.10.7</t>
  </si>
  <si>
    <t>2.10.8</t>
  </si>
  <si>
    <t>2.10.9</t>
  </si>
  <si>
    <t>2.10.10</t>
  </si>
  <si>
    <t>2.10.11</t>
  </si>
  <si>
    <t>2.10.12</t>
  </si>
  <si>
    <t>2.10.13</t>
  </si>
  <si>
    <t>2.10.14</t>
  </si>
  <si>
    <t>2.10.15</t>
  </si>
  <si>
    <t>2.10.16</t>
  </si>
  <si>
    <t>2.10.17</t>
  </si>
  <si>
    <t>2.10.18</t>
  </si>
  <si>
    <t>2.10.19</t>
  </si>
  <si>
    <t>2.10.20</t>
  </si>
  <si>
    <t>2.10.21</t>
  </si>
  <si>
    <t>2.10.22</t>
  </si>
  <si>
    <t>2.10.23</t>
  </si>
  <si>
    <t>2.10.24</t>
  </si>
  <si>
    <t>2.10.25</t>
  </si>
  <si>
    <t>2.10.26</t>
  </si>
  <si>
    <t>2.11</t>
  </si>
  <si>
    <t>2.11.1</t>
  </si>
  <si>
    <t>2.11.2</t>
  </si>
  <si>
    <t>2.11.3</t>
  </si>
  <si>
    <t>2.11.4</t>
  </si>
  <si>
    <t>2.11.5</t>
  </si>
  <si>
    <t>2.11.6</t>
  </si>
  <si>
    <t>2.11.7</t>
  </si>
  <si>
    <t>2.11.8</t>
  </si>
  <si>
    <t>2.11.9</t>
  </si>
  <si>
    <t>2.11.10</t>
  </si>
  <si>
    <t>2.11.11</t>
  </si>
  <si>
    <t>2.11.12</t>
  </si>
  <si>
    <t>2.11.13</t>
  </si>
  <si>
    <t>2.11.14</t>
  </si>
  <si>
    <t>2.11.15</t>
  </si>
  <si>
    <t>2.11.16</t>
  </si>
  <si>
    <t>2.11.17</t>
  </si>
  <si>
    <t>2.11.18</t>
  </si>
  <si>
    <t>2.11.19</t>
  </si>
  <si>
    <t>2.11.20</t>
  </si>
  <si>
    <t>2.11.21</t>
  </si>
  <si>
    <t>2.11.22</t>
  </si>
  <si>
    <t>2.11.23</t>
  </si>
  <si>
    <t>2.11.24</t>
  </si>
  <si>
    <t>2.11.25</t>
  </si>
  <si>
    <t>2.11.26</t>
  </si>
  <si>
    <t>2.12</t>
  </si>
  <si>
    <t>2.12.1</t>
  </si>
  <si>
    <t>2.12.3</t>
  </si>
  <si>
    <t>2.12.4</t>
  </si>
  <si>
    <t>2.12.5</t>
  </si>
  <si>
    <t>2.12.6</t>
  </si>
  <si>
    <t>2.12.7</t>
  </si>
  <si>
    <t>2.12.8</t>
  </si>
  <si>
    <t>2.12.9</t>
  </si>
  <si>
    <t>2.12.10</t>
  </si>
  <si>
    <t>2.12.11</t>
  </si>
  <si>
    <t>2.12.12</t>
  </si>
  <si>
    <t>2.12.13</t>
  </si>
  <si>
    <t>2.12.14</t>
  </si>
  <si>
    <t>2.12.15</t>
  </si>
  <si>
    <t>2.12.16</t>
  </si>
  <si>
    <t>2.12.17</t>
  </si>
  <si>
    <t>2.12.18</t>
  </si>
  <si>
    <t>2.12.19</t>
  </si>
  <si>
    <t>2.12.20</t>
  </si>
  <si>
    <t>2.12.21</t>
  </si>
  <si>
    <t>2.12.22</t>
  </si>
  <si>
    <t>2.12.23</t>
  </si>
  <si>
    <t>2.12.24</t>
  </si>
  <si>
    <t>2.12.25</t>
  </si>
  <si>
    <t>2.12.26</t>
  </si>
  <si>
    <t>SUBTOTAL 2.12</t>
  </si>
  <si>
    <t>SUBTOTAL 2.11</t>
  </si>
  <si>
    <t>2.13</t>
  </si>
  <si>
    <t>2.13.1</t>
  </si>
  <si>
    <t>2.13.2</t>
  </si>
  <si>
    <t>2.13.3</t>
  </si>
  <si>
    <t>2.13.4</t>
  </si>
  <si>
    <t>2.13.5</t>
  </si>
  <si>
    <t>2.13.6</t>
  </si>
  <si>
    <t>2.13.7</t>
  </si>
  <si>
    <t>2.13.8</t>
  </si>
  <si>
    <t>2.13.9</t>
  </si>
  <si>
    <t>2.13.10</t>
  </si>
  <si>
    <t>2.13.11</t>
  </si>
  <si>
    <t>2.13.12</t>
  </si>
  <si>
    <t>2.13.13</t>
  </si>
  <si>
    <t>2.13.14</t>
  </si>
  <si>
    <t>2.13.15</t>
  </si>
  <si>
    <t>2.13.16</t>
  </si>
  <si>
    <t>2.13.17</t>
  </si>
  <si>
    <t>2.13.18</t>
  </si>
  <si>
    <t>2.13.19</t>
  </si>
  <si>
    <t>2.13.20</t>
  </si>
  <si>
    <t>2.13.21</t>
  </si>
  <si>
    <t>2.13.22</t>
  </si>
  <si>
    <t>2.13.23</t>
  </si>
  <si>
    <t>2.13.24</t>
  </si>
  <si>
    <t>2.13.25</t>
  </si>
  <si>
    <t>2.13.26</t>
  </si>
  <si>
    <t>SUBTOTAL 2.13</t>
  </si>
  <si>
    <t>2.14</t>
  </si>
  <si>
    <t>SUBTOTAL 2.14</t>
  </si>
  <si>
    <t>REMOÇÃO DE QUADRO DE DISTRIBUIÇÃO, CHAMADA OU CAIXA DE PASSAGEM</t>
  </si>
  <si>
    <t>04.21.160</t>
  </si>
  <si>
    <t>2.13.27</t>
  </si>
  <si>
    <t>PINTURA TINTA DE ACABAMENTO (PIGMENTADA) ESMALTE SINTÉTICO ACETINADO EM MADEIRA, 2 DEMÃOS. AF_01/2021 (PINTURA DE PORTA)22,71</t>
  </si>
  <si>
    <t>3.1</t>
  </si>
  <si>
    <t>07.60.050</t>
  </si>
  <si>
    <t>RETIRADA DE TELHAS DE BARRO C/ REAPROVEITAMENTO</t>
  </si>
  <si>
    <t>RETIRADA DE ESTRUTURA EM MADEIRA PONTALETADA ‐ TELHAS DE BARRO</t>
  </si>
  <si>
    <t>04.02.090</t>
  </si>
  <si>
    <t>TRANSPORTE COM CAMINHÃO CARROCERIA 9T, EM VIA URBANA PAVIMENTADA, DMT ATÉ 30KM (UNIDADE: TXKM). AF_07/2020</t>
  </si>
  <si>
    <t>TXKM</t>
  </si>
  <si>
    <t>3.2.1</t>
  </si>
  <si>
    <t>RETIRADA DA COBERTURA CERÂMICA EXISTENTE</t>
  </si>
  <si>
    <t>FORNECIMENTO E MONTAGEM DE ESTRUTURA EM AÇO ASTM‐A36, SEM PINTURA</t>
  </si>
  <si>
    <t>SUBTOTAL 3.1</t>
  </si>
  <si>
    <t>3.2</t>
  </si>
  <si>
    <t xml:space="preserve">CORREDOR </t>
  </si>
  <si>
    <t>PINTURA DE PISO COM TINTA ACRÍLICA, APLICAÇÃO MANUAL, 2 DEMÃOS, INCLUSO FUNDO PREPARADOR. AF_05/2021</t>
  </si>
  <si>
    <t xml:space="preserve">PISO  </t>
  </si>
  <si>
    <t>EXECUÇÃO DE PASSEIO (CALÇADA) OU PISO DE CONCRETO COM CONCRETO MOLDADO IN LOCO, USINADO, ACABAMENTO CONVENCIONAL, ESPESSURA 6 CM, ARMADO. AF_08/2022</t>
  </si>
  <si>
    <t>COMPACTAÇÃO MECÂNICA DE SOLO PARA EXECUÇÃO DE RADIER, PISO DE CONCRETO OU LAJE SOBRE SOLO, COM COMPACTADOR DE SOLOS TIPO PLACA VIBRATÓRIA. AF_09/2021</t>
  </si>
  <si>
    <t>SUBTOTAL 3.2.1</t>
  </si>
  <si>
    <t>3.2.2</t>
  </si>
  <si>
    <t xml:space="preserve">CANALETA DE ÁGUAS PLUVIAIS </t>
  </si>
  <si>
    <t>TC-11 TAMPA DE CONCRETO PRE-MOLDADA PERF. P/ CANALETA L=35CM</t>
  </si>
  <si>
    <t>3.2.3</t>
  </si>
  <si>
    <t>DEMOLIÇÃO DE PILARES E VIGAS EM CONCRETO ARMADO, DE FORMA MECANIZADAOM MARTELETE, SEM REAPROVEITAMENTO. AF_12/2017</t>
  </si>
  <si>
    <t>SUBTOTAL 3.2.2</t>
  </si>
  <si>
    <t>SUBTOTAL 3.2.3</t>
  </si>
  <si>
    <t>4.1</t>
  </si>
  <si>
    <t>RETIRADA DE VIDRO INCLUSIVE RASPAGEM DE MASSA OU RETIRADA DE BAGUETES</t>
  </si>
  <si>
    <t>14.60.001</t>
  </si>
  <si>
    <t>SUBTOTAL 4.1</t>
  </si>
  <si>
    <t>4.1.1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</si>
  <si>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</si>
  <si>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</si>
  <si>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</si>
  <si>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</si>
  <si>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</si>
  <si>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</si>
  <si>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</si>
  <si>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</si>
  <si>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</si>
  <si>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</si>
  <si>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</si>
  <si>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</si>
  <si>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</si>
  <si>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</si>
  <si>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</si>
  <si>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</si>
  <si>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</si>
  <si>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</si>
  <si>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</si>
  <si>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</si>
  <si>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</si>
  <si>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</si>
  <si>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</si>
  <si>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4.2</t>
  </si>
  <si>
    <t>4.2.1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</si>
  <si>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</si>
  <si>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</si>
  <si>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</si>
  <si>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</si>
  <si>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</si>
  <si>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</si>
  <si>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</si>
  <si>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</si>
  <si>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</si>
  <si>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</si>
  <si>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</si>
  <si>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</si>
  <si>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</si>
  <si>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</si>
  <si>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</si>
  <si>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</si>
  <si>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</si>
  <si>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</si>
  <si>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</si>
  <si>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</si>
  <si>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</si>
  <si>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</si>
  <si>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</si>
  <si>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4.2.26</t>
  </si>
  <si>
    <t>SUBTOTAL 4.2</t>
  </si>
  <si>
    <t>DEMOLIÇÃO MANUAL DE CONCRETO SIMPLES (CALÇADA FUNDOS)</t>
  </si>
  <si>
    <t>ESCAVAÇÃO MANUAL PARA BLOCO DE COROAMENTO OU SAPATA (SEM ESCAVAÇÃO PARA COLOCAÇÃO DE FÔRMAS). AF_06/2017</t>
  </si>
  <si>
    <t>ARMAÇÃO DE PILAR OU VIGA DE ESTRUTURA CONVENCIONAL DE CONCRETO ARMADO UTILIZANDO AÇO CA-50 DE 10,0 MM - MONTAGEM. AF_06/2022</t>
  </si>
  <si>
    <t>MONTAGEM E DESMONTAGEM DE FÔRMA DE PILARES RETANGULARES E ESTRUTURAS SIMILARES, PÉ-DIREITO SIMPLES, EM CHAPA DE MADEIRA COMPENSADA RESINADA, 4 UTILIZAÇÕES. AF_09/2020</t>
  </si>
  <si>
    <t>CONCRETAGEM DE PILARES, FCK = 25 MPA, COM USO DE BALDES - LANÇAMENTO, ADENSAMENTO E ACABAMENTO. AF_02/2022</t>
  </si>
  <si>
    <t>ARMAÇÃO DE PILAR OU VIGA DE ESTRUTURA CONVENCIONAL DE CONCRETO ARMADO UTILIZANDO AÇO CA-60 DE 5,0 MM - MONTAGEM. AF_06/2022</t>
  </si>
  <si>
    <t>05.07.040</t>
  </si>
  <si>
    <t>REMOÇÃO DE ENTULHO SEPARADO DE OBRA COM CAÇAMBA METÁLICA ‐ TERRA, ALVENARIA, CONCRETO, ARGAMASSA, MADEIRA, PAPEL, PLÁSTICO OU METAL (CONCRETO DEMOLIDO)</t>
  </si>
  <si>
    <t>CONCRETAGEM DE VIGAS E LAJES, FCK=25 MPA, PARA LAJES PREMOLDADAS COM USO DE BOMBA - LANÇAMENTO, ADENSAMENTO E ACABAMENTO. AF_02/2022</t>
  </si>
  <si>
    <t>MONTAGEM E DESMONTAGEM DE FÔRMA DE VIGA, ESCORAMENTO COM PONTALETE DE MADEIRA, PÉ-DIREITO SIMPLES, EM MADEIRA SERRADA, 4 UTILIZAÇÕES. AF_09/2020</t>
  </si>
  <si>
    <t>3.2.1.1</t>
  </si>
  <si>
    <t>3.2.1.2</t>
  </si>
  <si>
    <t>3.2.1.3</t>
  </si>
  <si>
    <t>3.2.1.4</t>
  </si>
  <si>
    <t>3.2.1.5</t>
  </si>
  <si>
    <t>3.2.1.6</t>
  </si>
  <si>
    <t>3.2.1.7</t>
  </si>
  <si>
    <t>3.2.2.1</t>
  </si>
  <si>
    <t>3.2.2.2</t>
  </si>
  <si>
    <t>3.2.2.3</t>
  </si>
  <si>
    <t>3.2.2.4</t>
  </si>
  <si>
    <t>3.2.2.5</t>
  </si>
  <si>
    <t>3.2.2.6</t>
  </si>
  <si>
    <t>PINTURA DE ALVENARIA</t>
  </si>
  <si>
    <t>APLICAÇÃO E LIXAMENTO DE MASSA LÁTEX EM PAREDES, DUAS DEMÃOS. AF_06/2014</t>
  </si>
  <si>
    <t>REMOÇÃO DE PLACAS E PILARETES DE CONCRETO, DE FORMA MANUAL, SEM REAPROVEITAMENTO. AF_12/2017</t>
  </si>
  <si>
    <t>CALÇADA DE ACESSO A SECRETARIA</t>
  </si>
  <si>
    <t>RETIRADA DE ESQUADRIA METÁLICA EM GERAL</t>
  </si>
  <si>
    <t>04.09.020</t>
  </si>
  <si>
    <t>PILARETES E MURETAS</t>
  </si>
  <si>
    <t>24.02.060</t>
  </si>
  <si>
    <t>28.01.150</t>
  </si>
  <si>
    <t>FECHADURA ELÉTRICA DE SOBREPOR PARA PORTA OU PORTÃO COM PESO ATÉ 400 KG</t>
  </si>
  <si>
    <t>PORTEIRO ELETRÔNICO COM UM INTERFONE</t>
  </si>
  <si>
    <t>66.02.130</t>
  </si>
  <si>
    <t>ESTACIONAMENTO</t>
  </si>
  <si>
    <t>PORTA/PORTÃO DE ABRIR EM CHAPA, SOB MEDIDA (PORTÃO DE ACESSO A SECRETARIA)</t>
  </si>
  <si>
    <t>2.3.15</t>
  </si>
  <si>
    <t>2.7.27</t>
  </si>
  <si>
    <t>2.8.27</t>
  </si>
  <si>
    <t>2.9.27</t>
  </si>
  <si>
    <t>2.10.27</t>
  </si>
  <si>
    <t>2.11.27</t>
  </si>
  <si>
    <t>2.12.27</t>
  </si>
  <si>
    <t>2.14.1</t>
  </si>
  <si>
    <t>2.14.2</t>
  </si>
  <si>
    <t>2.14.3</t>
  </si>
  <si>
    <t>2.14.4</t>
  </si>
  <si>
    <t>2.14.5</t>
  </si>
  <si>
    <t>2.14.6</t>
  </si>
  <si>
    <t>2.14.7</t>
  </si>
  <si>
    <t>2.14.8</t>
  </si>
  <si>
    <t>2.14.9</t>
  </si>
  <si>
    <t>2.14.10</t>
  </si>
  <si>
    <t>2.14.11</t>
  </si>
  <si>
    <t>2.14.12</t>
  </si>
  <si>
    <t>2.14.13</t>
  </si>
  <si>
    <t>2.14.14</t>
  </si>
  <si>
    <t>2.14.15</t>
  </si>
  <si>
    <t>2.14.16</t>
  </si>
  <si>
    <t>2.14.17</t>
  </si>
  <si>
    <t>2.14.18</t>
  </si>
  <si>
    <t>2.14.19</t>
  </si>
  <si>
    <t>2.14.20</t>
  </si>
  <si>
    <t>2.14.21</t>
  </si>
  <si>
    <t>2.14.22</t>
  </si>
  <si>
    <t>2.14.23</t>
  </si>
  <si>
    <t>2.14.24</t>
  </si>
  <si>
    <t>2.14.25</t>
  </si>
  <si>
    <t>2.14.26</t>
  </si>
  <si>
    <t>2.14.27</t>
  </si>
  <si>
    <t>2.14.28</t>
  </si>
  <si>
    <t>4.1.26</t>
  </si>
  <si>
    <t>4.2.27</t>
  </si>
  <si>
    <t>4.3</t>
  </si>
  <si>
    <t>DEMOLIÇÃO MANUAL DE ALVENARIA DE ELEVAÇÃO OU ELEMENTO VAZADO, INCLUINDO REVESTIMENTO</t>
  </si>
  <si>
    <t>RETIRADA DE ESTRUTURA METÁLICA</t>
  </si>
  <si>
    <t>04.02.140</t>
  </si>
  <si>
    <t>ESMALTE EM ESQUADRIAS DE FERRO INCLUSIVE PREPARO E RETOQUES DE ZARCAO (JANELA E GRADE)</t>
  </si>
  <si>
    <t>4.3.1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</si>
  <si>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</si>
  <si>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</si>
  <si>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</si>
  <si>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</si>
  <si>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</si>
  <si>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</si>
  <si>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</si>
  <si>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</si>
  <si>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</si>
  <si>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</si>
  <si>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</si>
  <si>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</si>
  <si>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</si>
  <si>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</si>
  <si>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</si>
  <si>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</si>
  <si>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4.3.19</t>
  </si>
  <si>
    <t>4.3.20</t>
  </si>
  <si>
    <t>4.3.21</t>
  </si>
  <si>
    <t>4.3.22</t>
  </si>
  <si>
    <t>4.3.23</t>
  </si>
  <si>
    <t>DEPÓSITO</t>
  </si>
  <si>
    <t>ESCAVAÇÃO MANUAL DE VALA PARA VIGA BALDRAME (INCLUINDO ESCAVAÇÃO PARA COLOCAÇÃO DE FÔRMAS). AF_06/2017</t>
  </si>
  <si>
    <t>CONCRETAGEM DE PILARES E VIGAS, FCK = 25 MPA, COM USO DE BALDES - LANÇAMENTO, ADENSAMENTO E ACABAMENTO. AF_02/2022</t>
  </si>
  <si>
    <t>4.3.24</t>
  </si>
  <si>
    <t>4.3.25</t>
  </si>
  <si>
    <t>4.3.26</t>
  </si>
  <si>
    <t>4.3.27</t>
  </si>
  <si>
    <t>4.3.28</t>
  </si>
  <si>
    <t>4.3.29</t>
  </si>
  <si>
    <t>4.3.30</t>
  </si>
  <si>
    <t>4.3.31</t>
  </si>
  <si>
    <t>4.3.32</t>
  </si>
  <si>
    <t>4.3.33</t>
  </si>
  <si>
    <t>4.3.34</t>
  </si>
  <si>
    <t>4.3.35</t>
  </si>
  <si>
    <t>4.3.36</t>
  </si>
  <si>
    <t>4.4</t>
  </si>
  <si>
    <t>BANHEIRO PCD</t>
  </si>
  <si>
    <t>REMOÇÃO DE JANELA DE VENTILAÇÃO, ILUMINAÇÃO OU VENTILAÇÃO E ILUMINAÇÃO PADRÃO</t>
  </si>
  <si>
    <t>04.20.020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</si>
  <si>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</si>
  <si>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BR-09 LAVATORIO ACESSIVEL</t>
  </si>
  <si>
    <t>08.16.055</t>
  </si>
  <si>
    <t>BR-08 BACIA PARA SANITARIO ACESSIVEL</t>
  </si>
  <si>
    <t>08.16.054</t>
  </si>
  <si>
    <t>JANELA DE AÇO TIPO BASCULANTE PARA VIDROS, COM BATENTE, FERRAGENS E PINTURA ANTICORROSIVA. EXCLUSIVE VIDROS, ACABAMENTO, ALIZAR E CONTRAMARCO. FORNECIMENTO E INSTALAÇÃO. AF_12/2019</t>
  </si>
  <si>
    <t>CHUVEIRO ELÉTRICO COMUM CORPO PLÁSTICO, TIPO DUCHA FORNECIMENTO E INSTALAÇÃO. AF_01/2020</t>
  </si>
  <si>
    <t>RETIRADA DE TORNEIRA OU CHUVEIRO</t>
  </si>
  <si>
    <t>04.11.120</t>
  </si>
  <si>
    <t>RETIRADA DE VIDRO OU ESPELHO COM RASPAGEM DA MASSA OU RETIRADA DE BAGUETE</t>
  </si>
  <si>
    <t>04.14.020</t>
  </si>
  <si>
    <t>4.4.1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</si>
  <si>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</si>
  <si>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</si>
  <si>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</si>
  <si>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</si>
  <si>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</si>
  <si>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</si>
  <si>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</si>
  <si>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</si>
  <si>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</si>
  <si>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</si>
  <si>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4.4.13</t>
  </si>
  <si>
    <t>4.4.14</t>
  </si>
  <si>
    <t>4.4.15</t>
  </si>
  <si>
    <t>4.4.16</t>
  </si>
  <si>
    <t>4.4.17</t>
  </si>
  <si>
    <t>4.4.18</t>
  </si>
  <si>
    <t>4.4.19</t>
  </si>
  <si>
    <t>4.4.20</t>
  </si>
  <si>
    <t>4.4.21</t>
  </si>
  <si>
    <t>4.4.22</t>
  </si>
  <si>
    <t>4.4.23</t>
  </si>
  <si>
    <t>4.4.24</t>
  </si>
  <si>
    <t>4.4.25</t>
  </si>
  <si>
    <t>4.4.26</t>
  </si>
  <si>
    <t>4.4.27</t>
  </si>
  <si>
    <t>4.4.28</t>
  </si>
  <si>
    <t>4.4.29</t>
  </si>
  <si>
    <t>4.4.30</t>
  </si>
  <si>
    <t>4.4.31</t>
  </si>
  <si>
    <t>4.4.32</t>
  </si>
  <si>
    <t>4.4.33</t>
  </si>
  <si>
    <t>4.4.34</t>
  </si>
  <si>
    <t>SUBTOTAL 4.4</t>
  </si>
  <si>
    <t>4.5</t>
  </si>
  <si>
    <t>4.5.1</t>
  </si>
  <si>
    <t>4.5.3</t>
  </si>
  <si>
    <t>4.5.4</t>
  </si>
  <si>
    <t>4.5.5</t>
  </si>
  <si>
    <t>4.5.6</t>
  </si>
  <si>
    <t>4.5.7</t>
  </si>
  <si>
    <t>4.5.8</t>
  </si>
  <si>
    <t>4.5.9</t>
  </si>
  <si>
    <t>4.5.10</t>
  </si>
  <si>
    <t>4.5.11</t>
  </si>
  <si>
    <t>4.5.12</t>
  </si>
  <si>
    <t>4.5.13</t>
  </si>
  <si>
    <t>4.5.14</t>
  </si>
  <si>
    <t>4.5.15</t>
  </si>
  <si>
    <t>4.5.16</t>
  </si>
  <si>
    <t>4.5.17</t>
  </si>
  <si>
    <t>4.5.18</t>
  </si>
  <si>
    <t>4.5.19</t>
  </si>
  <si>
    <t>4.5.20</t>
  </si>
  <si>
    <t>4.5.21</t>
  </si>
  <si>
    <t>SUBTOTAL 4.5</t>
  </si>
  <si>
    <t>4.6</t>
  </si>
  <si>
    <t>4.6.1</t>
  </si>
  <si>
    <t>4.6.3</t>
  </si>
  <si>
    <t>4.6.4</t>
  </si>
  <si>
    <t>4.6.5</t>
  </si>
  <si>
    <t>4.6.6</t>
  </si>
  <si>
    <t>4.6.7</t>
  </si>
  <si>
    <t>4.6.8</t>
  </si>
  <si>
    <t>4.6.9</t>
  </si>
  <si>
    <t>4.6.11</t>
  </si>
  <si>
    <t>4.6.12</t>
  </si>
  <si>
    <t>4.6.13</t>
  </si>
  <si>
    <t>4.6.14</t>
  </si>
  <si>
    <t>4.6.15</t>
  </si>
  <si>
    <t>4.6.16</t>
  </si>
  <si>
    <t>4.6.17</t>
  </si>
  <si>
    <t>4.6.18</t>
  </si>
  <si>
    <t>4.6.19</t>
  </si>
  <si>
    <t>4.6.20</t>
  </si>
  <si>
    <t>4.6.21</t>
  </si>
  <si>
    <t>4.6.22</t>
  </si>
  <si>
    <t>4.6.23</t>
  </si>
  <si>
    <t>4.6.24</t>
  </si>
  <si>
    <t>4.6.25</t>
  </si>
  <si>
    <t>4.6.26</t>
  </si>
  <si>
    <t>4.6.27</t>
  </si>
  <si>
    <t>4.6.28</t>
  </si>
  <si>
    <t>4.6.29</t>
  </si>
  <si>
    <t>4.6.30</t>
  </si>
  <si>
    <t>4.6.31</t>
  </si>
  <si>
    <t>4.6.32</t>
  </si>
  <si>
    <t>4.6.33</t>
  </si>
  <si>
    <t>4.6.34</t>
  </si>
  <si>
    <t>SUBTOTAL 4.6</t>
  </si>
  <si>
    <t>BANHEIRO FEMININO E LAVABO FEMININO</t>
  </si>
  <si>
    <t>BARRA DE APOIO RETA, PARA PESSOAS COM MOBILIDADE REDUZIDA, EM TUBO DE AÇO INOXIDÁVEL DE 1 1/2´ X 800 MM</t>
  </si>
  <si>
    <t>30.01.030</t>
  </si>
  <si>
    <t>PORTA DE FERRO DE ABRIR TIPO VENEZIANA, LINHA COMERCIAL (0,60 x 1,80)</t>
  </si>
  <si>
    <t>24.02.070</t>
  </si>
  <si>
    <t>PONTO DE CONSUMO TERMINAL DE ÁGUA FRIA (SUBRAMAL) COM TUBULAÇÃO DE PVC, DN 25 MM, INSTALADO EM RAMAL DE ÁGUA, INCLUSOS RASGO E CHUMBAMENTO EM ALVENARIA. AF_12/2014</t>
  </si>
  <si>
    <t>4.6.35</t>
  </si>
  <si>
    <t>TUBO PVC, SERIE NORMAL, ESGOTO PREDIAL, DN 50 MM, FORNECIDO E INSTALADO EM RAMAL DE DESCARGA OU RAMAL DE ESGOTO SANITÁRIO. AF_08/2022</t>
  </si>
  <si>
    <t>TUBO PVC, SERIE NORMAL, ESGOTO PREDIAL, DN 100 MM, FORNECIDO E INSTALADO EM RAMAL DE DESCARGA OU RAMAL DE ESGOTO SANITÁRIO. AF_08/2022</t>
  </si>
  <si>
    <t>4.6.36</t>
  </si>
  <si>
    <t>4.6.37</t>
  </si>
  <si>
    <t>CAIXA DE PASSAGEM EM ALVENARIA DE 1,00X1,00X0,60 M</t>
  </si>
  <si>
    <t>09.06.029</t>
  </si>
  <si>
    <t>BANHEIRO MASCULINO E LAVABO MASCULINO</t>
  </si>
  <si>
    <t>4.7</t>
  </si>
  <si>
    <t>4.7.1</t>
  </si>
  <si>
    <t>4.7.3</t>
  </si>
  <si>
    <t>4.7.4</t>
  </si>
  <si>
    <t>4.7.5</t>
  </si>
  <si>
    <t>4.7.6</t>
  </si>
  <si>
    <t>4.7.7</t>
  </si>
  <si>
    <t>4.7.8</t>
  </si>
  <si>
    <t>4.7.9</t>
  </si>
  <si>
    <t>4.7.10</t>
  </si>
  <si>
    <t>4.7.11</t>
  </si>
  <si>
    <t>4.7.12</t>
  </si>
  <si>
    <t>4.7.13</t>
  </si>
  <si>
    <t>4.7.14</t>
  </si>
  <si>
    <t>4.7.15</t>
  </si>
  <si>
    <t>4.7.16</t>
  </si>
  <si>
    <t>4.7.17</t>
  </si>
  <si>
    <t>4.7.18</t>
  </si>
  <si>
    <t>4.7.19</t>
  </si>
  <si>
    <t>4.7.20</t>
  </si>
  <si>
    <t>4.7.21</t>
  </si>
  <si>
    <t>4.7.22</t>
  </si>
  <si>
    <t>4.7.23</t>
  </si>
  <si>
    <t>4.7.24</t>
  </si>
  <si>
    <t>4.7.25</t>
  </si>
  <si>
    <t>4.7.26</t>
  </si>
  <si>
    <t>4.7.27</t>
  </si>
  <si>
    <t>4.7.28</t>
  </si>
  <si>
    <t>4.7.29</t>
  </si>
  <si>
    <t>4.7.30</t>
  </si>
  <si>
    <t>4.7.31</t>
  </si>
  <si>
    <t>4.7.32</t>
  </si>
  <si>
    <t>4.7.33</t>
  </si>
  <si>
    <t>4.7.34</t>
  </si>
  <si>
    <t>4.7.35</t>
  </si>
  <si>
    <t>4.7.36</t>
  </si>
  <si>
    <t>4.7.37</t>
  </si>
  <si>
    <t>ESCADA I - ADAPTAÇÃO EM PISO, MURETAS E INSTALAÇÃO DE GUARDA-CORPO E CORRIMÃO</t>
  </si>
  <si>
    <t>ADAPTAÇÃO NO PISO - ACESSO SALA DE AULAS A SALÃO DO REFEITÓRIO</t>
  </si>
  <si>
    <t>SUBTOTAL 4.7</t>
  </si>
  <si>
    <t>5.1</t>
  </si>
  <si>
    <t>BLOCO 03 - QUADRA POLIESPORTIVA</t>
  </si>
  <si>
    <t>6.1</t>
  </si>
  <si>
    <t>8.1</t>
  </si>
  <si>
    <t>8.1.1</t>
  </si>
  <si>
    <t>8.1.1.1</t>
  </si>
  <si>
    <t>8.1.1.2</t>
  </si>
  <si>
    <t>8.1.1.3</t>
  </si>
  <si>
    <t>SUBTOTAL 8.1</t>
  </si>
  <si>
    <t>8.1.2</t>
  </si>
  <si>
    <t>8.1.2.1</t>
  </si>
  <si>
    <t>8.2</t>
  </si>
  <si>
    <t>8.2.1</t>
  </si>
  <si>
    <t>8.2.1.1</t>
  </si>
  <si>
    <t>8.2.1.2</t>
  </si>
  <si>
    <t>8.2.2</t>
  </si>
  <si>
    <t>8.2.2.1</t>
  </si>
  <si>
    <t>8.2.2.2</t>
  </si>
  <si>
    <t>8.2.2.3</t>
  </si>
  <si>
    <t>8.2.2.4</t>
  </si>
  <si>
    <t>8.2.2.5</t>
  </si>
  <si>
    <t>8.2.3</t>
  </si>
  <si>
    <t>8.2.3.1</t>
  </si>
  <si>
    <t>8.2.3.2</t>
  </si>
  <si>
    <t>8.2.3.3</t>
  </si>
  <si>
    <t>8.2.3.4</t>
  </si>
  <si>
    <t>8.2.3.5</t>
  </si>
  <si>
    <t>8.2.3.6</t>
  </si>
  <si>
    <t>8.2.3.7</t>
  </si>
  <si>
    <t>8.2.3.8</t>
  </si>
  <si>
    <t>8.2.3.9</t>
  </si>
  <si>
    <t>8.2.3.10</t>
  </si>
  <si>
    <t>8.2.3.11</t>
  </si>
  <si>
    <t>8.2.3.12</t>
  </si>
  <si>
    <t>8.2.3.13</t>
  </si>
  <si>
    <t>8.2.3.14</t>
  </si>
  <si>
    <t>8.2.3.15</t>
  </si>
  <si>
    <t>8.2.3.16</t>
  </si>
  <si>
    <t>8.2.3.17</t>
  </si>
  <si>
    <t>8.2.3.18</t>
  </si>
  <si>
    <t>8.2.3.19</t>
  </si>
  <si>
    <t>8.2.3.20</t>
  </si>
  <si>
    <t>8.2.3.21</t>
  </si>
  <si>
    <t>8.2.3.22</t>
  </si>
  <si>
    <t>8.2.3.23</t>
  </si>
  <si>
    <t>8.2.3.24</t>
  </si>
  <si>
    <t>4.8</t>
  </si>
  <si>
    <t>PÁTIO</t>
  </si>
  <si>
    <t>TAMPO/BANCADA EM GRANITO, COM FRONTÃO, ESPESSURA DE 2 CM, ACABAMENTO POLIDO</t>
  </si>
  <si>
    <t>44.02.062</t>
  </si>
  <si>
    <t>CUBA DE EMBUTIR OVAL EM LOUÇA BRANCA, 35 X 50CM OU EQUIVALENTE, INCLUSO VÁLVULA EM METAL CROMADO E SIFÃO FLEXÍVEL EM PVC - FORNECIMENTO E INSTALAÇÃO. AF_01/2020</t>
  </si>
  <si>
    <t>4.7.38</t>
  </si>
  <si>
    <t>4.6.38</t>
  </si>
  <si>
    <t>BB-01 BEBEDOURO COLETIVO</t>
  </si>
  <si>
    <t>08.15.016</t>
  </si>
  <si>
    <t>4.8.1</t>
  </si>
  <si>
    <t>4.8.2</t>
  </si>
  <si>
    <t>4.8.3</t>
  </si>
  <si>
    <t>4.8.4</t>
  </si>
  <si>
    <t>4.8.5</t>
  </si>
  <si>
    <t>4.8.6</t>
  </si>
  <si>
    <t>4.8.7</t>
  </si>
  <si>
    <t>4.8.8</t>
  </si>
  <si>
    <t>4.8.9</t>
  </si>
  <si>
    <t>4.8.10</t>
  </si>
  <si>
    <t>4.8.11</t>
  </si>
  <si>
    <t>4.8.12</t>
  </si>
  <si>
    <t>4.8.13</t>
  </si>
  <si>
    <t>4.8.14</t>
  </si>
  <si>
    <t>4.8.15</t>
  </si>
  <si>
    <t>4.8.16</t>
  </si>
  <si>
    <t>4.8.17</t>
  </si>
  <si>
    <t>4.8.18</t>
  </si>
  <si>
    <t>4.8.19</t>
  </si>
  <si>
    <t>4.8.20</t>
  </si>
  <si>
    <t>4.8.21</t>
  </si>
  <si>
    <t>4.8.22</t>
  </si>
  <si>
    <t>4.8.23</t>
  </si>
  <si>
    <t>4.8.24</t>
  </si>
  <si>
    <t>4.8.25</t>
  </si>
  <si>
    <t>PORTÃO EM CHAPA DE AÇO</t>
  </si>
  <si>
    <t>16.01.046</t>
  </si>
  <si>
    <t>4.8.26</t>
  </si>
  <si>
    <t>4.8.27</t>
  </si>
  <si>
    <t>4.8.28</t>
  </si>
  <si>
    <t>4.8.29</t>
  </si>
  <si>
    <t>4.8.30</t>
  </si>
  <si>
    <t>4.8.31</t>
  </si>
  <si>
    <t>4.8.32</t>
  </si>
  <si>
    <t>4.8.33</t>
  </si>
  <si>
    <t>4.8.34</t>
  </si>
  <si>
    <t>4.8.35</t>
  </si>
  <si>
    <t>4.8.36</t>
  </si>
  <si>
    <t>SUBTOTAL 4.8</t>
  </si>
  <si>
    <t>4.9</t>
  </si>
  <si>
    <t>RETIRADA DE DIVISÓRIA EM PLACA DE CONCRETO, GRANITO, GRANILITE OU MÁRMORE</t>
  </si>
  <si>
    <t>04.01.060</t>
  </si>
  <si>
    <t>TELA DE PROTEÇÃO TIPO MOSQUITEIRA EM AÇO GALVANIZADO, COM REQUADRO EM PERFIS DE FERRO</t>
  </si>
  <si>
    <t>24.03.200</t>
  </si>
  <si>
    <t>CC-04 CUBA DUPLA INOX (102X40X25CM) INCLUSIVE VÁLVULA AMERICANA-GRANITO</t>
  </si>
  <si>
    <t>05.05.104</t>
  </si>
  <si>
    <t>CC-03 CUBA INOX (50X40X25CM) TORNEIRA DE PAREDE INCL.VÁLVULA AMERICANA-GRANITO</t>
  </si>
  <si>
    <t>05.05.103</t>
  </si>
  <si>
    <t>PR-08 PRATELEIRA DE GRANITO</t>
  </si>
  <si>
    <t>05.05.064</t>
  </si>
  <si>
    <t>TANQUE DE LOUÇA BRANCA COM COLUNA, 30L OU EQUIVALENTE - FORNECIMENTO E INSTALAÇÃO. AF_01/2020</t>
  </si>
  <si>
    <t>4.9.1</t>
  </si>
  <si>
    <t>4.9.3</t>
  </si>
  <si>
    <t>4.9.4</t>
  </si>
  <si>
    <t>4.9.5</t>
  </si>
  <si>
    <t>4.9.6</t>
  </si>
  <si>
    <t>4.9.7</t>
  </si>
  <si>
    <t>4.9.8</t>
  </si>
  <si>
    <t>4.9.9</t>
  </si>
  <si>
    <t>4.9.10</t>
  </si>
  <si>
    <t>4.9.11</t>
  </si>
  <si>
    <t>4.9.12</t>
  </si>
  <si>
    <t>4.9.13</t>
  </si>
  <si>
    <t>4.9.14</t>
  </si>
  <si>
    <t>4.9.15</t>
  </si>
  <si>
    <t>4.9.16</t>
  </si>
  <si>
    <t>4.9.17</t>
  </si>
  <si>
    <t>4.9.18</t>
  </si>
  <si>
    <t>4.9.19</t>
  </si>
  <si>
    <t>4.9.20</t>
  </si>
  <si>
    <t>4.9.21</t>
  </si>
  <si>
    <t>4.9.22</t>
  </si>
  <si>
    <t>4.9.23</t>
  </si>
  <si>
    <t>4.9.24</t>
  </si>
  <si>
    <t>4.9.25</t>
  </si>
  <si>
    <t>4.9.26</t>
  </si>
  <si>
    <t>4.9.27</t>
  </si>
  <si>
    <t>4.9.28</t>
  </si>
  <si>
    <t>4.9.29</t>
  </si>
  <si>
    <t>4.9.30</t>
  </si>
  <si>
    <t>4.9.31</t>
  </si>
  <si>
    <t>4.9.32</t>
  </si>
  <si>
    <t>4.9.33</t>
  </si>
  <si>
    <t>4.9.34</t>
  </si>
  <si>
    <t>4.9.35</t>
  </si>
  <si>
    <t>4.9.36</t>
  </si>
  <si>
    <t>4.9.37</t>
  </si>
  <si>
    <t>4.9.38</t>
  </si>
  <si>
    <t>4.9.39</t>
  </si>
  <si>
    <t>4.9.40</t>
  </si>
  <si>
    <t>4.9.41</t>
  </si>
  <si>
    <t>4.9.42</t>
  </si>
  <si>
    <t>4.9.43</t>
  </si>
  <si>
    <t>4.9.44</t>
  </si>
  <si>
    <t>4.9.45</t>
  </si>
  <si>
    <t>4.9.46</t>
  </si>
  <si>
    <t>4.9.47</t>
  </si>
  <si>
    <t>4.9.48</t>
  </si>
  <si>
    <t>4.9.49</t>
  </si>
  <si>
    <t>4.9.50</t>
  </si>
  <si>
    <t>4.9.51</t>
  </si>
  <si>
    <t>SUBTOTAL 4.9</t>
  </si>
  <si>
    <t>AG-04 ABRIGO PARA GAS COM 2 CILINDROS DE 45 KG</t>
  </si>
  <si>
    <t>08.02.001</t>
  </si>
  <si>
    <t>4.10</t>
  </si>
  <si>
    <t>4.10.1</t>
  </si>
  <si>
    <t>4.10.2</t>
  </si>
  <si>
    <t>4.10.3</t>
  </si>
  <si>
    <t>TUBO DE COBRE CLASSE A, DN= 22MM (3/4´), INCLUSIVE CONEXÕES</t>
  </si>
  <si>
    <t>46.10.020</t>
  </si>
  <si>
    <t>4.10.4</t>
  </si>
  <si>
    <t>2.12.28</t>
  </si>
  <si>
    <t>4.4.35</t>
  </si>
  <si>
    <t>TOTAL 4</t>
  </si>
  <si>
    <t>TOTAL 3</t>
  </si>
  <si>
    <t>TOTAL 2</t>
  </si>
  <si>
    <t>TOTAL 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</si>
  <si>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</si>
  <si>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</si>
  <si>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</si>
  <si>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</si>
  <si>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</si>
  <si>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</si>
  <si>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</si>
  <si>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</si>
  <si>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SUBTOTAL 5.1</t>
  </si>
  <si>
    <t>5.2</t>
  </si>
  <si>
    <t>5.2.1</t>
  </si>
  <si>
    <t>5.2.2</t>
  </si>
  <si>
    <t>5.2.3</t>
  </si>
  <si>
    <t>ARMAÇÃO DE PILAR OU VIGA DE ESTRUTURA CONVENCIONAL DE CONCRETO ARMADO UTILIZANDO AÇO CA-60 DE 5,0 MM - MONTAGEM. AF_06/2022 (ARRANQUE DO PILAR)</t>
  </si>
  <si>
    <t>ARMAÇÃO DE PILAR OU VIGA DE ESTRUTURA CONVENCIONAL DE CONCRETO ARMADO UTILIZANDO AÇO CA-50 DE 10,0 MM - MONTAGEM. AF_06/2022 (ARRANQUE DO PILAR)</t>
  </si>
  <si>
    <t>5.2.4</t>
  </si>
  <si>
    <t>SUBTOTAL 10.1</t>
  </si>
  <si>
    <t>SUBTOTAL 8.2</t>
  </si>
  <si>
    <t>SUBTOTAL 8.1.1</t>
  </si>
  <si>
    <t>SUBTOTAL 8.1.2</t>
  </si>
  <si>
    <t>SUBTOTAL 8.2.1</t>
  </si>
  <si>
    <t>SUBTOTAL 8.2.2</t>
  </si>
  <si>
    <t>SUBTOTAL 8.2.3</t>
  </si>
  <si>
    <t>8.3</t>
  </si>
  <si>
    <t>8.3.1</t>
  </si>
  <si>
    <t>8.3.2</t>
  </si>
  <si>
    <t>8.3.3</t>
  </si>
  <si>
    <t>SUBTOTAL 8.3</t>
  </si>
  <si>
    <t>8.4</t>
  </si>
  <si>
    <t>8.4.1</t>
  </si>
  <si>
    <t>8.4.2</t>
  </si>
  <si>
    <t>8.4.3</t>
  </si>
  <si>
    <t>8.4.4</t>
  </si>
  <si>
    <t>SUBTOTAL 8.4</t>
  </si>
  <si>
    <t>8.5</t>
  </si>
  <si>
    <t>8.5.1</t>
  </si>
  <si>
    <t>8.5.2</t>
  </si>
  <si>
    <t>8.5.3</t>
  </si>
  <si>
    <t>8.5.4</t>
  </si>
  <si>
    <t>8.5.5</t>
  </si>
  <si>
    <t>8.5.6</t>
  </si>
  <si>
    <t>8.5.7</t>
  </si>
  <si>
    <t>SUBTOTAL 8.5</t>
  </si>
  <si>
    <t>8.6</t>
  </si>
  <si>
    <t>8.6.1</t>
  </si>
  <si>
    <t>SUBTOTAL 8.6</t>
  </si>
  <si>
    <t>8.7</t>
  </si>
  <si>
    <t>SUBTOTAL 8.7</t>
  </si>
  <si>
    <t>8.7.1</t>
  </si>
  <si>
    <t>8.7.2</t>
  </si>
  <si>
    <t>8.7.3</t>
  </si>
  <si>
    <t>8.7.4</t>
  </si>
  <si>
    <t>8.7.5</t>
  </si>
  <si>
    <t>8.7.6</t>
  </si>
  <si>
    <t>8.7.7</t>
  </si>
  <si>
    <t>8.7.8</t>
  </si>
  <si>
    <t>8.8</t>
  </si>
  <si>
    <t>8.8.1</t>
  </si>
  <si>
    <t>8.8.2</t>
  </si>
  <si>
    <t>8.8.3</t>
  </si>
  <si>
    <t>8.8.4</t>
  </si>
  <si>
    <t>8.8.5</t>
  </si>
  <si>
    <t>8.8.6</t>
  </si>
  <si>
    <t>8.8.7</t>
  </si>
  <si>
    <t>8.8.8</t>
  </si>
  <si>
    <t>8.8.9</t>
  </si>
  <si>
    <t>8.8.10</t>
  </si>
  <si>
    <t>TOTAL 8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</si>
  <si>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</si>
  <si>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APLICAÇÃO E LIXAMENTO DE MASSA LÁTEX EM PAREDES, UMA DEMÃO. AF_06/2014 (PAREDES E MURETAS INTERNAS)</t>
  </si>
  <si>
    <t>APLICAÇÃO MANUAL DE PINTURA COM TINTA LÁTEX ACRÍLICA EM PAREDES, DUAS DEMÃOS. AF_06/2014 (PAREDES E MURETAS INTERNAS)</t>
  </si>
  <si>
    <t>SUBTOTAL 4.10</t>
  </si>
  <si>
    <t>CORREDOR / PISO</t>
  </si>
  <si>
    <t>5.2.5</t>
  </si>
  <si>
    <t>5.2.6</t>
  </si>
  <si>
    <t>5.2.7</t>
  </si>
  <si>
    <t>SUBTOTAL 5.2</t>
  </si>
  <si>
    <t>5.3</t>
  </si>
  <si>
    <t>5.3.1</t>
  </si>
  <si>
    <t>5.3.2</t>
  </si>
  <si>
    <t>5.3.3</t>
  </si>
  <si>
    <t>SUBTOTAL 5.3</t>
  </si>
  <si>
    <t>5.4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</si>
  <si>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</si>
  <si>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</si>
  <si>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</si>
  <si>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</si>
  <si>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</si>
  <si>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</si>
  <si>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</si>
  <si>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</si>
  <si>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5.5</t>
  </si>
  <si>
    <t>5.5.1</t>
  </si>
  <si>
    <t>5.5.2</t>
  </si>
  <si>
    <t>SUBTOTAL 5.5</t>
  </si>
  <si>
    <t>5.6</t>
  </si>
  <si>
    <t>5.6.1</t>
  </si>
  <si>
    <t>5.6.2</t>
  </si>
  <si>
    <t>5.6.3</t>
  </si>
  <si>
    <t>5.6.4</t>
  </si>
  <si>
    <t>5.6.5</t>
  </si>
  <si>
    <t>5.6.6</t>
  </si>
  <si>
    <t>SUBTOTAL 5.6</t>
  </si>
  <si>
    <t>PORTÃO DE ACESSO A ESCOLA</t>
  </si>
  <si>
    <t>5.7</t>
  </si>
  <si>
    <t>5.7.1</t>
  </si>
  <si>
    <t>PLANTIO DE GRAMA</t>
  </si>
  <si>
    <t>PLANTIO DE GRAMA ESMERALDA OU SÃO CARLOS OU CURITIBANA, EM PLACAS. AF_05/2022</t>
  </si>
  <si>
    <t>SUBTOTAL 5.7</t>
  </si>
  <si>
    <t>TOTAL 5</t>
  </si>
  <si>
    <t>7.1</t>
  </si>
  <si>
    <t>7.1.1</t>
  </si>
  <si>
    <t>7.1.2</t>
  </si>
  <si>
    <t>7.1.3</t>
  </si>
  <si>
    <t>7.1.4</t>
  </si>
  <si>
    <t>ESMALTE EM ESTRUTURA METALICA</t>
  </si>
  <si>
    <t>15.01.004</t>
  </si>
  <si>
    <t>APLICAÇÃO E LIXAMENTO DE MASSA LÁTEX EM PAREDES, DUAS DEMÃOS. AF_06/2014 (ALVENARIA EXTERNA)</t>
  </si>
  <si>
    <t>APLICAÇÃO MANUAL DE PINTURA COM TINTA LÁTEX ACRÍLICA EM PAREDES, DUAS DEMÃOS. AF_06/2014 (ALVENARIA EXTERNA)</t>
  </si>
  <si>
    <t>5.5.3</t>
  </si>
  <si>
    <t>5.5.4</t>
  </si>
  <si>
    <t xml:space="preserve">APLICAÇÃO E LIXAMENTO DE MASSA LÁTEX EM PAREDES, DUAS DEMÃOS. AF_06/2014 (MURETA EXISTENTE DE ACESSO A QUADRA) </t>
  </si>
  <si>
    <t xml:space="preserve">APLICAÇÃO MANUAL DE PINTURA COM TINTA LÁTEX ACRÍLICA EM PAREDES, DUAS DEMÃOS. AF_06/2014 (MURETA EXISTENTE DE ACESSO A QUADRA) </t>
  </si>
  <si>
    <t xml:space="preserve">APLICAÇÃO E LIXAMENTO DE MASSA LÁTEX EM PAREDES, DUAS DEMÃOS. AF_06/2014 (MURETA - ENTORNO DA ESCOLA) </t>
  </si>
  <si>
    <t xml:space="preserve">APLICAÇÃO MANUAL DE PINTURA COM TINTA LÁTEX ACRÍLICA EM PAREDES, DUAS DEMÃOS. AF_06/2014 (MURETA - ENTORNO DA ESCOLA) </t>
  </si>
  <si>
    <t>5.5.5</t>
  </si>
  <si>
    <t>5.5.6</t>
  </si>
  <si>
    <t>PILARES (COBERTURA)</t>
  </si>
  <si>
    <t>VIGAS  (COBERTURA)</t>
  </si>
  <si>
    <t>ESCAVAÇÃO MANUAL PARA BLOCO DE COROAMENTO OU SAPATA (INCLUINDO ESCAVAÇÃO PARA COLOCAÇÃO DE FÔRMAS). AF_06/2017</t>
  </si>
  <si>
    <t>FABRICAÇÃO, MONTAGEM E DESMONTAGEM DE FÔRMA PARA BLOCO DE COROAMENTO, EM MADEIRA SERRADA, E=25 MM, 2 UTILIZAÇÕES. AF_06/2017</t>
  </si>
  <si>
    <t>FUNDAÇÃO - COBERTURA DA RAMPA E ESCADA</t>
  </si>
  <si>
    <t>5.7.2</t>
  </si>
  <si>
    <t>5.7.3</t>
  </si>
  <si>
    <t>5.7.4</t>
  </si>
  <si>
    <t>5.7.5</t>
  </si>
  <si>
    <t>5.7.6</t>
  </si>
  <si>
    <t>5.8</t>
  </si>
  <si>
    <t>5.8.1</t>
  </si>
  <si>
    <t>6.2</t>
  </si>
  <si>
    <t>EXECUÇÃO DE PASSEIO (CALÇADA) OU PISO DE CONCRETO COM CONCRETO MOLDADO IN LOCO, USINADO, ACABAMENTO CONVENCIONAL, ESPESSURA 8 CM, ARMADO. AF_08/2022</t>
  </si>
  <si>
    <t>DEMOLICAO DE PISO DE CONCRETO COM RETRO ESCAVADEIRA</t>
  </si>
  <si>
    <t>16.50.015</t>
  </si>
  <si>
    <t>35.01.150</t>
  </si>
  <si>
    <t>TRAVE OFICIAL COMPLETA COM REDE PARA FUTEBOL DE SALÃO</t>
  </si>
  <si>
    <t>POSTE OFICIAL COMPLETO COM REDE PARA VOLEIBOL</t>
  </si>
  <si>
    <t>35.01.170</t>
  </si>
  <si>
    <t>SUBTOTAL 6.1</t>
  </si>
  <si>
    <t>TABELA DE BASQUETE COM ARO E CESTO</t>
  </si>
  <si>
    <t>16.80.024</t>
  </si>
  <si>
    <t>6.1.1</t>
  </si>
  <si>
    <t>6.1.2</t>
  </si>
  <si>
    <t>6.1.3</t>
  </si>
  <si>
    <t>6.1.4</t>
  </si>
  <si>
    <t>6.1.5</t>
  </si>
  <si>
    <t>6.1.6</t>
  </si>
  <si>
    <t>PINTURA DE MURETA</t>
  </si>
  <si>
    <t>SUBTOTAL 6.2</t>
  </si>
  <si>
    <t xml:space="preserve">APLICAÇÃO MANUAL DE PINTURA COM TINTA LÁTEX ACRÍLICA EM PAREDES, DUAS DEMÃOS. AF_06/2014 </t>
  </si>
  <si>
    <t>6.3</t>
  </si>
  <si>
    <t>6.3.1</t>
  </si>
  <si>
    <t>6.3.2</t>
  </si>
  <si>
    <t>6.3.3</t>
  </si>
  <si>
    <t>6.3.4</t>
  </si>
  <si>
    <t>6.3.5</t>
  </si>
  <si>
    <t>6.3.6</t>
  </si>
  <si>
    <t>SUBTOTAL 6.3</t>
  </si>
  <si>
    <t>ESCAVAÇÃO MANUAL DE VALA (INCLUINDO ESCAVAÇÃO PARA COLOCAÇÃO DE FÔRMAS). AF_06/2017</t>
  </si>
  <si>
    <t>TUBO PVC, SÉRIE R, ÁGUA PLUVIAL, DN 100 MM, FORNECIDO E INSTALADO EM RAMAL DE ENCAMINHAMENTO. AF_06/2022</t>
  </si>
  <si>
    <t>6.4</t>
  </si>
  <si>
    <t>6.4.1</t>
  </si>
  <si>
    <t>6.4.2</t>
  </si>
  <si>
    <t>6.4.3</t>
  </si>
  <si>
    <t>6.4.4</t>
  </si>
  <si>
    <t>6.4.5</t>
  </si>
  <si>
    <t>SUBTOTAL 6.4</t>
  </si>
  <si>
    <t>TOTAL 6</t>
  </si>
  <si>
    <t>6.5</t>
  </si>
  <si>
    <t>6.5.1</t>
  </si>
  <si>
    <t>6.5.2</t>
  </si>
  <si>
    <t>6.5.3</t>
  </si>
  <si>
    <t>ALAMBRADO</t>
  </si>
  <si>
    <t>ALAMBRADO PARA QUADRA POLIESPORTIVA, ESTRUTURADO POR TUBOS DE ACO GALVANIZADO, (MONTANTES COM DIAMETRO 2", TRAVESSAS E ESCORAS COM DIÂMETRO 1 ¼), COM TELA DE ARAME GALVANIZADO, FIO 12 BWG E MALHA QUADRADA 5X5CM (EXCETO MURETA). AF_03/2021</t>
  </si>
  <si>
    <t>6.6</t>
  </si>
  <si>
    <t>SUBTOTAL 6.6</t>
  </si>
  <si>
    <t>SUBTOTAL 6.5</t>
  </si>
  <si>
    <t>COBERTURA NOVA EM ESTRUTURA METÁLICA - BLOCO I</t>
  </si>
  <si>
    <t>COBERTURA NOVA EM ESTRUTURA METÁLICA - BLOCO II</t>
  </si>
  <si>
    <t>COBERTURA NOVA EM ESTRUTURA METÁLICA - RAMPA E ESCADA</t>
  </si>
  <si>
    <t>COBERTURA NOVA EM ESTRUTURA METÁLICA - RAMPA DE ACESSO A QUADRA</t>
  </si>
  <si>
    <t>SUBTOTAL 7.1</t>
  </si>
  <si>
    <t>7.2</t>
  </si>
  <si>
    <t>7.2.1</t>
  </si>
  <si>
    <t>7.2.2</t>
  </si>
  <si>
    <t>7.2.3</t>
  </si>
  <si>
    <t>7.2.4</t>
  </si>
  <si>
    <t>7.3</t>
  </si>
  <si>
    <t>7.3.1</t>
  </si>
  <si>
    <t>7.3.2</t>
  </si>
  <si>
    <t>7.3.3</t>
  </si>
  <si>
    <t>7.3.4</t>
  </si>
  <si>
    <t>7.4</t>
  </si>
  <si>
    <t>7.4.1</t>
  </si>
  <si>
    <t>7.4.2</t>
  </si>
  <si>
    <t>7.4.3</t>
  </si>
  <si>
    <t>7.4.4</t>
  </si>
  <si>
    <t>SUBTOTAL 7.2</t>
  </si>
  <si>
    <t>SUBTOTAL 7.3</t>
  </si>
  <si>
    <t>SUBTOTAL 7.4</t>
  </si>
  <si>
    <t>TOTAL 7</t>
  </si>
  <si>
    <t xml:space="preserve">FUNDAÇÃO - COBERTURA DA RAMPA </t>
  </si>
  <si>
    <t>6.6.1</t>
  </si>
  <si>
    <t>6.6.2</t>
  </si>
  <si>
    <t>6.6.3</t>
  </si>
  <si>
    <t>6.6.4</t>
  </si>
  <si>
    <t>6.6.5</t>
  </si>
  <si>
    <t>6.6.6</t>
  </si>
  <si>
    <t>5.5.7</t>
  </si>
  <si>
    <t>5.5.8</t>
  </si>
  <si>
    <t>6.6.7</t>
  </si>
  <si>
    <t>6.6.8</t>
  </si>
  <si>
    <t>TOTAL 10</t>
  </si>
  <si>
    <t xml:space="preserve">PISO RAMPA E ACESSO QUADRA </t>
  </si>
  <si>
    <t>SUBTOTAL 6.7</t>
  </si>
  <si>
    <t>6.7</t>
  </si>
  <si>
    <t>6.7.1</t>
  </si>
  <si>
    <t>6.7.2</t>
  </si>
  <si>
    <t>6.7.3</t>
  </si>
  <si>
    <t>6.7.4</t>
  </si>
  <si>
    <t>6.7.5</t>
  </si>
  <si>
    <t>6.7.6</t>
  </si>
  <si>
    <t>6.7.7</t>
  </si>
  <si>
    <t>PORTÃO DE ACESSO A SECRETARIA</t>
  </si>
  <si>
    <t>PORTÃO DE ACESSO AO ESTACIONAMENTO</t>
  </si>
  <si>
    <t>SISTEMA ELETRÔNICO DE AUTOMATIZAÇÃO DE PORTÃO DESLIZANTE, PARA ESFORÇOS ATÉ 800 KG</t>
  </si>
  <si>
    <t>66.02.239</t>
  </si>
  <si>
    <t>3.3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</si>
  <si>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</si>
  <si>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</si>
  <si>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</si>
  <si>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</si>
  <si>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</si>
  <si>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</si>
  <si>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</si>
  <si>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</si>
  <si>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SUBTOTAL 3.3</t>
  </si>
  <si>
    <t>SUBTOTAL 3.2</t>
  </si>
  <si>
    <t>APLICAÇÃO E LIXAMENTO DE MASSA LÁTEX EM PAREDES, DUAS DEMÃOS. AF_06/2014 (MURETA)</t>
  </si>
  <si>
    <t>APLICAÇÃO MANUAL DE PINTURA COM TINTA LÁTEX ACRÍLICA EM PAREDES, DUAS DEMÃOS. AF_06/2014 (MURETA)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</si>
  <si>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</si>
  <si>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</si>
  <si>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</si>
  <si>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</si>
  <si>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</si>
  <si>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</si>
  <si>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</si>
  <si>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</si>
  <si>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</si>
  <si>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</si>
  <si>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</si>
  <si>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</si>
  <si>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</si>
  <si>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3.4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</si>
  <si>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</si>
  <si>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</si>
  <si>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</si>
  <si>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</si>
  <si>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</si>
  <si>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</si>
  <si>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</si>
  <si>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</si>
  <si>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SUBTOTAL 3.4</t>
  </si>
  <si>
    <t>SUBTOTAL 3.5</t>
  </si>
  <si>
    <t>3.5</t>
  </si>
  <si>
    <t>3.6</t>
  </si>
  <si>
    <t>3.6.2</t>
  </si>
  <si>
    <t>3.6.1</t>
  </si>
  <si>
    <t>3.6.3</t>
  </si>
  <si>
    <t>3.6.4</t>
  </si>
  <si>
    <t>3.6.5</t>
  </si>
  <si>
    <t>3.6.6</t>
  </si>
  <si>
    <t>3.6.7</t>
  </si>
  <si>
    <t>3.6.8</t>
  </si>
  <si>
    <t>SUBTOTAL 3.6</t>
  </si>
  <si>
    <t>SUBTOTAL 3.7</t>
  </si>
  <si>
    <t>3.7</t>
  </si>
  <si>
    <t>3.8</t>
  </si>
  <si>
    <t>3.9</t>
  </si>
  <si>
    <t>3.9.1</t>
  </si>
  <si>
    <t>3.9.2</t>
  </si>
  <si>
    <t>3.9.3</t>
  </si>
  <si>
    <t>3.9.4</t>
  </si>
  <si>
    <t>3.9.5</t>
  </si>
  <si>
    <t>3.9.6</t>
  </si>
  <si>
    <t>3.9.7</t>
  </si>
  <si>
    <t>SUBTOTAL 3.9</t>
  </si>
  <si>
    <t>SUBTOTAL 3.8</t>
  </si>
  <si>
    <t>SUBTOTAL 5.8</t>
  </si>
  <si>
    <t>SUBTOTAL 8.8</t>
  </si>
  <si>
    <t>9.1</t>
  </si>
  <si>
    <t>9.1.1</t>
  </si>
  <si>
    <t>SUBTOTAL 9.1</t>
  </si>
  <si>
    <t>9.2</t>
  </si>
  <si>
    <t>9.2.1</t>
  </si>
  <si>
    <t>9.2.1.1</t>
  </si>
  <si>
    <t>9.2.1.2</t>
  </si>
  <si>
    <t>9.2.1.3</t>
  </si>
  <si>
    <t>9.2.1.4</t>
  </si>
  <si>
    <t>9.2.1.5</t>
  </si>
  <si>
    <t>9.2.1.6</t>
  </si>
  <si>
    <t>9.2.1.7</t>
  </si>
  <si>
    <t>9.2.1.8</t>
  </si>
  <si>
    <t>9.2.1.9</t>
  </si>
  <si>
    <t>9.2.1.10</t>
  </si>
  <si>
    <t>9.2.1.11</t>
  </si>
  <si>
    <t>SUBTOTAL 9.2.1</t>
  </si>
  <si>
    <t>9.2.2</t>
  </si>
  <si>
    <t>9.2.2.1</t>
  </si>
  <si>
    <t>9.2.2.2</t>
  </si>
  <si>
    <t>SUBTOTAL 9.2.2</t>
  </si>
  <si>
    <t>9.2.3</t>
  </si>
  <si>
    <t>9.2.3.1</t>
  </si>
  <si>
    <t>9.2.3.2</t>
  </si>
  <si>
    <t>9.2.3.3</t>
  </si>
  <si>
    <t>SUBTOTAL 9.2.3</t>
  </si>
  <si>
    <t>SUBTOTAL 9.2</t>
  </si>
  <si>
    <t>9.3</t>
  </si>
  <si>
    <t>9.3.1</t>
  </si>
  <si>
    <t>9.3.1.1</t>
  </si>
  <si>
    <t>9.3.1.2</t>
  </si>
  <si>
    <t>9.3.1.3</t>
  </si>
  <si>
    <t>9.3.1.4</t>
  </si>
  <si>
    <t>9.3.1.5</t>
  </si>
  <si>
    <t>9.3.1.6</t>
  </si>
  <si>
    <t>9.3.1.7</t>
  </si>
  <si>
    <t>SUBTOTAL 9.3.1</t>
  </si>
  <si>
    <t>9.3.2</t>
  </si>
  <si>
    <t>9.3.2.1</t>
  </si>
  <si>
    <t>9.3.2.2</t>
  </si>
  <si>
    <t>9.3.2.3</t>
  </si>
  <si>
    <t>9.3.2.4</t>
  </si>
  <si>
    <t>9.3.2.5</t>
  </si>
  <si>
    <t>9.3.2.6</t>
  </si>
  <si>
    <t>9.3.2.7</t>
  </si>
  <si>
    <t>9.3.2.8</t>
  </si>
  <si>
    <t>9.3.2.9</t>
  </si>
  <si>
    <t>9.3.2.10</t>
  </si>
  <si>
    <t>9.3.2.11</t>
  </si>
  <si>
    <t>9.3.2.12</t>
  </si>
  <si>
    <t>9.3.2.13</t>
  </si>
  <si>
    <t>9.3.2.14</t>
  </si>
  <si>
    <t>9.3.2.15</t>
  </si>
  <si>
    <t>9.3.2.16</t>
  </si>
  <si>
    <t>9.3.2.17</t>
  </si>
  <si>
    <t>SUBTOTAL 9.3.2</t>
  </si>
  <si>
    <t>9.3.3</t>
  </si>
  <si>
    <t>9.3.3.1</t>
  </si>
  <si>
    <t>9.3.3.2</t>
  </si>
  <si>
    <t>9.3.3.3</t>
  </si>
  <si>
    <t>9.3.3.4</t>
  </si>
  <si>
    <t>9.3.3.5</t>
  </si>
  <si>
    <t>9.3.3.6</t>
  </si>
  <si>
    <t>9.3.3.7</t>
  </si>
  <si>
    <t>9.3.3.8</t>
  </si>
  <si>
    <t>9.3.3.9</t>
  </si>
  <si>
    <t>9.3.3.10</t>
  </si>
  <si>
    <t>9.3.3.11</t>
  </si>
  <si>
    <t>9.3.3.12</t>
  </si>
  <si>
    <t>SUBTOTAL 9.3.3</t>
  </si>
  <si>
    <t>9.3.4</t>
  </si>
  <si>
    <t>9.3.4.1</t>
  </si>
  <si>
    <t>9.3.4.2</t>
  </si>
  <si>
    <t>9.3.4.3</t>
  </si>
  <si>
    <t>9.3.4.4</t>
  </si>
  <si>
    <t>SUBTOTAL 9.3.4</t>
  </si>
  <si>
    <t>SUBTOTAL 9.3</t>
  </si>
  <si>
    <t>9.4</t>
  </si>
  <si>
    <t>9.4.1</t>
  </si>
  <si>
    <t>9.4.2</t>
  </si>
  <si>
    <t>9.4.3</t>
  </si>
  <si>
    <t>9.4.4</t>
  </si>
  <si>
    <t>9.4.5</t>
  </si>
  <si>
    <t>9.4.6</t>
  </si>
  <si>
    <t>9.4.7</t>
  </si>
  <si>
    <t>9.4.8</t>
  </si>
  <si>
    <t>9.4.9</t>
  </si>
  <si>
    <t>9.4.10</t>
  </si>
  <si>
    <t>9.4.11</t>
  </si>
  <si>
    <t>9.4.12</t>
  </si>
  <si>
    <t>SUBTOTAL 9.4</t>
  </si>
  <si>
    <t>9.5</t>
  </si>
  <si>
    <t>9.5.1</t>
  </si>
  <si>
    <t>9.5.2</t>
  </si>
  <si>
    <t>9.5.3</t>
  </si>
  <si>
    <t>SUBTOTAL 9.5</t>
  </si>
  <si>
    <t>9.6</t>
  </si>
  <si>
    <t>9.6.1</t>
  </si>
  <si>
    <t>9.6.1.1</t>
  </si>
  <si>
    <t>9.6.1.2</t>
  </si>
  <si>
    <t>9.6.1.3</t>
  </si>
  <si>
    <t>9.6.1.4</t>
  </si>
  <si>
    <t>9.6.1.5</t>
  </si>
  <si>
    <t>9.6.1.6</t>
  </si>
  <si>
    <t>9.6.1.7</t>
  </si>
  <si>
    <t>SUBTOTAL 9.6.1</t>
  </si>
  <si>
    <t>9.6.2</t>
  </si>
  <si>
    <t>9.6.2.1</t>
  </si>
  <si>
    <t>9.6.2.2</t>
  </si>
  <si>
    <t>9.6.2.3</t>
  </si>
  <si>
    <t>9.6.2.4</t>
  </si>
  <si>
    <t>9.6.2.5</t>
  </si>
  <si>
    <t>9.6.2.6</t>
  </si>
  <si>
    <t>SUBTOTAL 9.6.2</t>
  </si>
  <si>
    <t>9.6.3</t>
  </si>
  <si>
    <t>9.6.3.1</t>
  </si>
  <si>
    <t>9.6.3.2</t>
  </si>
  <si>
    <t>9.6.3.3</t>
  </si>
  <si>
    <t>9.6.3.4</t>
  </si>
  <si>
    <t>9.6.3.5</t>
  </si>
  <si>
    <t>9.6.3.6</t>
  </si>
  <si>
    <t>9.6.3.7</t>
  </si>
  <si>
    <t>9.6.3.8</t>
  </si>
  <si>
    <t>9.6.3.9</t>
  </si>
  <si>
    <t>9.6.3.10</t>
  </si>
  <si>
    <t>9.6.3.11</t>
  </si>
  <si>
    <t>SUBTOTAL 9.6.3</t>
  </si>
  <si>
    <t>9.6.4</t>
  </si>
  <si>
    <t>9.6.4.1</t>
  </si>
  <si>
    <t>9.6.4.2</t>
  </si>
  <si>
    <t>9.6.4.3</t>
  </si>
  <si>
    <t>9.6.4.4</t>
  </si>
  <si>
    <t>9.6.4.5</t>
  </si>
  <si>
    <t>9.6.4.6</t>
  </si>
  <si>
    <t>9.6.4.7</t>
  </si>
  <si>
    <t>SUBTOTAL 9.6.4</t>
  </si>
  <si>
    <t>9.6.5</t>
  </si>
  <si>
    <t>9.6.5.1</t>
  </si>
  <si>
    <t>9.6.5.2</t>
  </si>
  <si>
    <t>9.6.5.3</t>
  </si>
  <si>
    <t>9.6.5.4</t>
  </si>
  <si>
    <t>SUBTOTAL 9.6.5</t>
  </si>
  <si>
    <t>9.6.6</t>
  </si>
  <si>
    <t>9.6.6.1</t>
  </si>
  <si>
    <t>9.6.6.2</t>
  </si>
  <si>
    <t>SUBTOTAL 9.6.6</t>
  </si>
  <si>
    <t>SUBTOTAL 9.6</t>
  </si>
  <si>
    <t>9.7</t>
  </si>
  <si>
    <t>9.7.1</t>
  </si>
  <si>
    <t>9.7.2</t>
  </si>
  <si>
    <t>9.7.3</t>
  </si>
  <si>
    <t>9.7.4</t>
  </si>
  <si>
    <t>9.7.5</t>
  </si>
  <si>
    <t>9.7.6</t>
  </si>
  <si>
    <t>9.7.7</t>
  </si>
  <si>
    <t>9.7.8</t>
  </si>
  <si>
    <t>TOTAL ITEM 9.7</t>
  </si>
  <si>
    <t>TOTAL 9</t>
  </si>
  <si>
    <t>SERVIÇOS COMPLEMENTARES</t>
  </si>
  <si>
    <t>PINTURA DO MURO DE FECHAMENTO</t>
  </si>
  <si>
    <t>CALÇADA</t>
  </si>
  <si>
    <t>LIMPEZA FINAL DA OBRA</t>
  </si>
  <si>
    <t>PLACA EM LONA COM IMPRESSÃO DIGITAL E REQUADRO EM METALON (3,00 x 2,00)</t>
  </si>
  <si>
    <t>02.08.040</t>
  </si>
  <si>
    <t>REGULARIZAÇÃO E COMPACTAÇÃO MECANIZADA DE SUPERFÍCIE, SEM CONTROLE DO PROCTOR NORMAL</t>
  </si>
  <si>
    <t>PAVIMENTAÇÃO EM LAJOTA DE CONCRETO 35 MPA, ESPESSURA 8 CM, TIPOS: RAQUETE, RETANGULAR, SEXTAVADO E 16 FACES, COM REJUNTE EM AREIA</t>
  </si>
  <si>
    <t>54.04.350</t>
  </si>
  <si>
    <t>54.01.010</t>
  </si>
  <si>
    <t>SINALIZAÇÃO HORIZONTAL COM TINTA VINÍLICA OU ACRÍLICA</t>
  </si>
  <si>
    <t>70.02.010</t>
  </si>
  <si>
    <t>BL-02 BICICLETÁRIO SOBRE CIMENTADO OU BLOCO INTERTRAVADO</t>
  </si>
  <si>
    <t>16.07.012</t>
  </si>
  <si>
    <t>3.8.1</t>
  </si>
  <si>
    <t>3.8.2</t>
  </si>
  <si>
    <t>3.8.3</t>
  </si>
  <si>
    <t>3.8.4</t>
  </si>
  <si>
    <t>3.8.5</t>
  </si>
  <si>
    <t>10.2</t>
  </si>
  <si>
    <t>10.3</t>
  </si>
  <si>
    <t>10.3.1</t>
  </si>
  <si>
    <t>10.2.1</t>
  </si>
  <si>
    <t>10.2.2</t>
  </si>
  <si>
    <t>10.2.3</t>
  </si>
  <si>
    <t>10.2.4</t>
  </si>
  <si>
    <t>10.2.5</t>
  </si>
  <si>
    <t>10.2.6</t>
  </si>
  <si>
    <t>10.2.7</t>
  </si>
  <si>
    <t>SUBTOTAL 4.3</t>
  </si>
  <si>
    <t>SUBTOTAL 10.2</t>
  </si>
  <si>
    <t>SUBTOTAL 10.3</t>
  </si>
  <si>
    <t>5.1.9</t>
  </si>
  <si>
    <t>5.1.10</t>
  </si>
  <si>
    <t>5.1.11</t>
  </si>
  <si>
    <t>LIMPEZA DE SUPERFÍCIE COM JATO DE ALTA PRESSÃO. AF_04/2019</t>
  </si>
  <si>
    <t>1.1</t>
  </si>
  <si>
    <t>REMOÇÃO DE FORROS DE DRYWALL, PVC E FIBROMINERAL, DE FORMA MANUAL, SEM REAPROVEITAMENTO. AF_12/2017</t>
  </si>
  <si>
    <t>REMOÇÃO DE INTERRUPTORES/TOMADAS ELÉTRICAS, DE FORMA MANUAL, SEM REAPROVEITAMENTO. AF_12/2017</t>
  </si>
  <si>
    <t>REMOÇÃO DE LUMINÁRIAS, DE FORMA MANUAL, SEM REAPROVEITAMENTO. AF_12/2017</t>
  </si>
  <si>
    <t>REMOÇÃO DE TESOURAS DE MADEIRA, COM VÃO MAIOR OU IGUAL A 8M, DE FORMA MECANIZADA, COM REAPROVEITAMENTO. AF_12/2017</t>
  </si>
  <si>
    <t>RETIRADA DE BATENTE, CORRIMÃO OU PEÇAS LINEARES METÁLICAS, FIXADOS (GRELHAS)</t>
  </si>
  <si>
    <t>04.09.080</t>
  </si>
  <si>
    <t>3.7.1</t>
  </si>
  <si>
    <t>3.7.2</t>
  </si>
  <si>
    <t>3.7.3</t>
  </si>
  <si>
    <t>3.7.4</t>
  </si>
  <si>
    <t>3.7.5</t>
  </si>
  <si>
    <t>3.7.6</t>
  </si>
  <si>
    <t>3.5.1</t>
  </si>
  <si>
    <t>3.5.2</t>
  </si>
  <si>
    <t>4.1.2</t>
  </si>
  <si>
    <t>4.2.2</t>
  </si>
  <si>
    <t>4.3.2</t>
  </si>
  <si>
    <t>4.4.2</t>
  </si>
  <si>
    <t>4.5.2</t>
  </si>
  <si>
    <t>4.6.2</t>
  </si>
  <si>
    <t>4.6.10</t>
  </si>
  <si>
    <t>4.7.2</t>
  </si>
  <si>
    <t>4.9.2</t>
  </si>
  <si>
    <t>5.4.9</t>
  </si>
  <si>
    <t>5.4.10</t>
  </si>
  <si>
    <t>5.4.11</t>
  </si>
  <si>
    <t>5.4.12</t>
  </si>
  <si>
    <t>5.4.13</t>
  </si>
  <si>
    <t>5.4.14</t>
  </si>
  <si>
    <t>5.4.15</t>
  </si>
  <si>
    <t>5.4.16</t>
  </si>
  <si>
    <t>5.6.7</t>
  </si>
  <si>
    <t>5.6.8</t>
  </si>
  <si>
    <t>5.8.2</t>
  </si>
  <si>
    <t>5.8.3</t>
  </si>
  <si>
    <t>5.8.4</t>
  </si>
  <si>
    <t>5.8.5</t>
  </si>
  <si>
    <t>5.8.6</t>
  </si>
  <si>
    <t>5.9</t>
  </si>
  <si>
    <t>5.9.1</t>
  </si>
  <si>
    <t>SUBTOTAL 5.9</t>
  </si>
  <si>
    <t>6.1.7</t>
  </si>
  <si>
    <t>6.1.8</t>
  </si>
  <si>
    <t>6.1.9</t>
  </si>
  <si>
    <t>3.8.6</t>
  </si>
  <si>
    <t>3.8.7</t>
  </si>
  <si>
    <t>3.8.8</t>
  </si>
  <si>
    <t>MÊS 13</t>
  </si>
  <si>
    <t>MÊS 14</t>
  </si>
  <si>
    <t>MÊS 15</t>
  </si>
  <si>
    <t>FUNDAÇÃO PARA O DESENVOLVIMENTO DA EDUCAÇÃO - FDE : JANEIRO 2023 - LS 120,87, BDI 23%</t>
  </si>
  <si>
    <t xml:space="preserve">SISTEMA NACIONAL DE PESQUISA DE CUSTOS E ÍNDICES DA CONSTRUÇÃO CIVIL - SINAPI: JANEIRO - 2023 - L.S. = 115,26% (HORA) / 71,27% (MÊS) - NÃO DESONERADA    </t>
  </si>
  <si>
    <t>TELHAMENTO EM CHAPA DE AÇO COM PINTURA POLIÉSTER, TIPO SANDUÍCHE, ESPESSURA DE 0,50 MM, COM POLIESTIRENO EXPANDIDO</t>
  </si>
  <si>
    <t>16.13.130</t>
  </si>
  <si>
    <t>BDI</t>
  </si>
  <si>
    <t>DATA</t>
  </si>
  <si>
    <t>VALOR</t>
  </si>
  <si>
    <t>REGISTRO OU REGULADOR DE GÁS DE COZINHA - FORNECIMENTO E INSTALAÇÃO. AF_08/2021</t>
  </si>
  <si>
    <t>4.10.5</t>
  </si>
  <si>
    <t>4.8.37</t>
  </si>
  <si>
    <t>TC-07 TAMPA EM GRELHA DE FERRO GALVANIZADO P/ CANALETA (25CM)</t>
  </si>
  <si>
    <t>16.05.044</t>
  </si>
  <si>
    <t>2.1.32</t>
  </si>
  <si>
    <t>2.1.33</t>
  </si>
  <si>
    <t>2.1.34</t>
  </si>
  <si>
    <t>2.2.18</t>
  </si>
  <si>
    <t>2.2.19</t>
  </si>
  <si>
    <t>2.2.20</t>
  </si>
  <si>
    <t>2.3.16</t>
  </si>
  <si>
    <t>2.3.17</t>
  </si>
  <si>
    <t>2.3.18</t>
  </si>
  <si>
    <t>2.4.32</t>
  </si>
  <si>
    <t>2.4.33</t>
  </si>
  <si>
    <t>2.4.34</t>
  </si>
  <si>
    <t>2.5.18</t>
  </si>
  <si>
    <t>2.5.19</t>
  </si>
  <si>
    <t>2.5.20</t>
  </si>
  <si>
    <t>2.6.18</t>
  </si>
  <si>
    <t>2.6.19</t>
  </si>
  <si>
    <t>2.6.20</t>
  </si>
  <si>
    <t>TOTAL 4.11</t>
  </si>
  <si>
    <t>9.6.5.5</t>
  </si>
  <si>
    <t>9.6.5.6</t>
  </si>
  <si>
    <t>REVESTIMENTO CERÂMICO PARA PISO COM PLACAS TIPO ESMALTADA EXTRA DE DIMENSÕES 35X35 CM APLICADA EM AMBIENTES DE ÁREA MENOR QUE 5 M2. AF_06/2014</t>
  </si>
  <si>
    <t>ABRIGO DE GLP E ABRIGO DE LIXO</t>
  </si>
  <si>
    <t>4.10.6</t>
  </si>
  <si>
    <t>4.10.7</t>
  </si>
  <si>
    <t>4.10.8</t>
  </si>
  <si>
    <t>4.10.9</t>
  </si>
  <si>
    <t>4.11</t>
  </si>
  <si>
    <t>4.11.1</t>
  </si>
  <si>
    <t>4.11.2</t>
  </si>
  <si>
    <t>4.11.3</t>
  </si>
  <si>
    <t>4.11.4</t>
  </si>
  <si>
    <t>4.11.5</t>
  </si>
  <si>
    <t>4.11.6</t>
  </si>
  <si>
    <t>4.11.7</t>
  </si>
  <si>
    <t>LASTRO DE CONCRETO MAGRO, APLICADO EM PISOS, LAJES SOBRE SOLO OU RADIERS, ESPESSURA DE 5 CM. AF_07/2016</t>
  </si>
  <si>
    <t>LASTRO COM MATERIAL GRANULAR, APLICADO EM PISOS OU LAJES SOBRE SOLO, ESPESSURA DE *5 CM*. AF_08/2017</t>
  </si>
  <si>
    <t>CARGA, MANOBRA E DESCARGA DE ENTULHO EM CAMINHÃO BASCULANTE 14 M³ - CARGA COM ESCAVADEIRA HIDRÁULICA (CAÇAMBA DE 0,80 M³ / 111 HP) E DESCARGA LIVRE (UNIDADE: M3). AF_07/2020</t>
  </si>
  <si>
    <t>M3XKM</t>
  </si>
  <si>
    <t>TRANSPORTE COM CAMINHÃO BASCULANTE DE 10 M³, EM VIA URBANA PAVIMENTADA, DMT ATÉ 30 KM (UNIDADE: M3XKM). AF_07/2020</t>
  </si>
  <si>
    <t>6.3.7</t>
  </si>
  <si>
    <t>2.1.35</t>
  </si>
  <si>
    <t>2.2.21</t>
  </si>
  <si>
    <t>2.3.19</t>
  </si>
  <si>
    <t>2.4.35</t>
  </si>
  <si>
    <t>2.5.21</t>
  </si>
  <si>
    <t>2.6.21</t>
  </si>
  <si>
    <t>2.7.28</t>
  </si>
  <si>
    <t>2.8.28</t>
  </si>
  <si>
    <t>2.9.28</t>
  </si>
  <si>
    <t>2.10.28</t>
  </si>
  <si>
    <t>2.11.28</t>
  </si>
  <si>
    <t>2.12.2</t>
  </si>
  <si>
    <t>2.13.28</t>
  </si>
  <si>
    <t>2.14.29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</si>
  <si>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</si>
  <si>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</si>
  <si>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</si>
  <si>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</si>
  <si>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</si>
  <si>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</si>
  <si>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</si>
  <si>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</si>
  <si>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</si>
  <si>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</si>
  <si>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3.2.1.8</t>
  </si>
  <si>
    <t>3.2.2.7</t>
  </si>
  <si>
    <t>3.2.3.1</t>
  </si>
  <si>
    <t>3.2.3.2</t>
  </si>
  <si>
    <t>3.2.3.3</t>
  </si>
  <si>
    <t>3.2.3.4</t>
  </si>
  <si>
    <t>3.2.3.5</t>
  </si>
  <si>
    <t>3.6.9</t>
  </si>
  <si>
    <t>3.7.7</t>
  </si>
  <si>
    <t>3.9.8</t>
  </si>
  <si>
    <t>4.1.27</t>
  </si>
  <si>
    <t>4.2.28</t>
  </si>
  <si>
    <t>4.4.36</t>
  </si>
  <si>
    <t>4.5.22</t>
  </si>
  <si>
    <t>4.6.39</t>
  </si>
  <si>
    <t>4.7.39</t>
  </si>
  <si>
    <t>4.10.10</t>
  </si>
  <si>
    <t>4.11.8</t>
  </si>
  <si>
    <t>5.2.8</t>
  </si>
  <si>
    <t>5.8.7</t>
  </si>
  <si>
    <t>6.1.10</t>
  </si>
  <si>
    <t>6.2.1</t>
  </si>
  <si>
    <t>6.4.6</t>
  </si>
  <si>
    <t>6.5.4</t>
  </si>
  <si>
    <t>6.7.8</t>
  </si>
  <si>
    <t>8.1.1.4</t>
  </si>
  <si>
    <t>9.6.1.8</t>
  </si>
  <si>
    <t>9.6.6.3</t>
  </si>
  <si>
    <t>9.6.6.4</t>
  </si>
  <si>
    <t>10.2.8</t>
  </si>
  <si>
    <t>ART: 28027230230360875</t>
  </si>
  <si>
    <t>MAR/2023</t>
  </si>
  <si>
    <t>REFORMA E AMPLIAÇÃO DA E. M. ADRIANO QUEIROZ PIMENTEL</t>
  </si>
  <si>
    <t>SUBTOTAL 2.10</t>
  </si>
  <si>
    <t>SUBTOTAL 5.4</t>
  </si>
  <si>
    <t>CALHA EM CHAPA DE AÇO GALVANIZADO NÚMERO 24, DESENVOLVIMENTO DE 50 CM, INCLUSO TRANSPORTE VERTICAL. AF_07/2019</t>
  </si>
  <si>
    <t>7.4.5</t>
  </si>
  <si>
    <t>3.2.1.9</t>
  </si>
  <si>
    <t>CONTRAPISO COM ARGAMASSA AUTONIVELANTE, APLICADO SOBRE LAJE/PISO, ADERIDO, ESPESSURA 2CM. AF_07/2021 (REGULARIZAÇÃO DE CALÇADA EXISTENTE)</t>
  </si>
  <si>
    <t xml:space="preserve">DRENAGEM DE ÁGUAS PLUVIAIS </t>
  </si>
  <si>
    <t>SUBTOTAL 5.3.1</t>
  </si>
  <si>
    <t>5.3.1.1</t>
  </si>
  <si>
    <t>5.3.1.2</t>
  </si>
  <si>
    <t>5.3.1.3</t>
  </si>
  <si>
    <t>5.3.1.4</t>
  </si>
  <si>
    <t>5.3.1.5</t>
  </si>
  <si>
    <t>5.3.1.6</t>
  </si>
  <si>
    <t>5.3.1.7</t>
  </si>
  <si>
    <t>5.3.2.1</t>
  </si>
  <si>
    <t>5.3.2.2</t>
  </si>
  <si>
    <t>5.3.2.3</t>
  </si>
  <si>
    <t>5.3.2.4</t>
  </si>
  <si>
    <t>5.3.2.5</t>
  </si>
  <si>
    <t>MURETA DE CONTENÇÃO</t>
  </si>
  <si>
    <t>ALVENARIA DE BLOCOS DE CONCRETO ESTRUTURAL 14X19X39 CM (ESPESSURA 14 M), FBK = 4,5 MPA, UTILIZANDO COLHER DE PEDREIRO. AF_10/2022</t>
  </si>
  <si>
    <t>APLICAÇÃO MANUAL DE PINTURA COM TINTA LÁTEX ACRÍLICA EM PAREDES, DUAS DEMÃOS. AF_06/2014 (MURETAS NOVAS)</t>
  </si>
  <si>
    <t>APLICAÇÃO MANUAL DE PINTURA COM TINTA LÁTEX ACRÍLICA EM PAREDES, DUAS DEMÃOS. AF_06/2014 (MURETAS EXISTENTES)</t>
  </si>
  <si>
    <t>SUBTOTAL 5.3.2</t>
  </si>
  <si>
    <t>5.3.3.1</t>
  </si>
  <si>
    <t>5.3.3.2</t>
  </si>
  <si>
    <t>5.3.3.3</t>
  </si>
  <si>
    <t>SUBTOTAL 5.3.3</t>
  </si>
  <si>
    <t>EXECUÇÃO DE CANALETA DE CONCRETO MOLDADO IN LOCO, ESPESSURA DE 0,07 M, GEOMETRIA TRAPEZOIDAL (DIMENSÕES INTERNAS: B=0,6 M; B=0,147 M; H=0,2 M). AF_08/2021</t>
  </si>
  <si>
    <t>CANALETA DE ÁGUAS PLUVIAIS - JARDIM</t>
  </si>
  <si>
    <t>GRAUTE FGK=15 MPA; TRAÇO 1:0,04:2,2:2,5 (EM MASSA SECA DE CIMENTO/CAL/AREIA GROSSA/BRITA 0) - PREPARO MECÂNICO COM BETONEIRA 400 L. AF_09/2021</t>
  </si>
  <si>
    <t>CANALETA DE ÁGUAS PLUVIAIS - CORREDOR</t>
  </si>
  <si>
    <t>CAIXA ENTERRADA HIDRÁULICA RETANGULAR, EM ALVENARIA COM BLOCOS DE CONCRETO, DIMENSÕES INTERNAS: 0,6X0,6X0,6 M PARA REDE DE DRENAGEM. AF_12/2020</t>
  </si>
  <si>
    <t>TUBO DE CONCRETO PARA REDES COLETORAS DE ÁGUAS PLUVIAIS, DIÂMETRO DE 400 MM, JUNTA RÍGIDA, INSTALADO EM LOCAL COM BAIXO NÍVEL DE INTERFERÊNCIAS - FORNECIMENTO E ASSENTAMENTO. AF_12/2015</t>
  </si>
  <si>
    <t>SINALIZAÇÃO DE PLACAS / PISO</t>
  </si>
  <si>
    <t>9.5.4</t>
  </si>
  <si>
    <t>PISO EM LADRILHO HIDRÁULICO PODOTÁTIL VÁRIAS CORES (25X25CM), ASSENTADO COM ARGAMASSA MISTA</t>
  </si>
  <si>
    <t>30.04.030</t>
  </si>
  <si>
    <t>3.10</t>
  </si>
  <si>
    <t>CASA DO CASEIRO</t>
  </si>
  <si>
    <t>3.10.1</t>
  </si>
  <si>
    <t>3.10.2</t>
  </si>
  <si>
    <t>3.10.3</t>
  </si>
  <si>
    <t>3.10.1.1</t>
  </si>
  <si>
    <t>3.10.1.2</t>
  </si>
  <si>
    <t>3.10.1.3</t>
  </si>
  <si>
    <t>3.10.1.4</t>
  </si>
  <si>
    <t>3.10.1.5</t>
  </si>
  <si>
    <t>3.10.1.6</t>
  </si>
  <si>
    <t>3.10.1.7</t>
  </si>
  <si>
    <t>3.10.1.8</t>
  </si>
  <si>
    <t>SUBTOTAL 3.10.1</t>
  </si>
  <si>
    <t>ÁREA INTERNA DO IMÓVEL</t>
  </si>
  <si>
    <t>3.10.2.1</t>
  </si>
  <si>
    <t>3.10.2.2</t>
  </si>
  <si>
    <t>3.10.2.3</t>
  </si>
  <si>
    <t>3.10.2.4</t>
  </si>
  <si>
    <t>3.10.2.5</t>
  </si>
  <si>
    <t>3.10.2.6</t>
  </si>
  <si>
    <t>3.10.2.7</t>
  </si>
  <si>
    <t>INSTALAÇÃO DE VIDRO LISO INCOLOR, E = 4 MM, EM ESQUADRIA DE ALUMÍNIO OU PVC, FIXADO COM BAGUETE. AF_01/2021_PS</t>
  </si>
  <si>
    <t>3.10.2.8</t>
  </si>
  <si>
    <t>2.1.36</t>
  </si>
  <si>
    <t>PINTURA</t>
  </si>
  <si>
    <t>3.10.3.1</t>
  </si>
  <si>
    <t>3.10.3.2</t>
  </si>
  <si>
    <t>3.10.3.3</t>
  </si>
  <si>
    <t>REPARO EM TRINCAS E RACHADURAS</t>
  </si>
  <si>
    <t>12.80.030</t>
  </si>
  <si>
    <t>3.10.3.5</t>
  </si>
  <si>
    <t>SUBTOTAL 3.10.2</t>
  </si>
  <si>
    <t>SUBTOTAL 3.10.3</t>
  </si>
  <si>
    <t>TOTAL 3.10</t>
  </si>
  <si>
    <t>APLICAÇÃO MANUAL DE PINTURA COM TINTA LÁTEX ACRÍLICA EM PAREDES, DUAS DEMÃOS. AF_06/2014 (EXTERNO)</t>
  </si>
  <si>
    <t>APLICAÇÃO MANUAL DE PINTURA COM TINTA LÁTEX ACRÍLICA EM PAREDES, DUAS DEMÃOS. AF_06/2014 (INTERNO)</t>
  </si>
  <si>
    <t>APLICAÇÃO E LIXAMENTO DE MASSA LÁTEX EM PAREDES, DUAS DEMÃOS. AF_06/2014 (EXTERNO)</t>
  </si>
  <si>
    <t>JANELA DE AÇO DE CORRER COM 4 FOLHAS PARA VIDRO, COM BATENTE, FERRAGENS E PINTURA ANTICORROSIVA. EXCLUSIVE VIDROS, ALIZAR E CONTRAMARCO. FORNECIMENTO E INSTALAÇÃO. AF_12/2019</t>
  </si>
  <si>
    <t>3.10.2.9</t>
  </si>
  <si>
    <t>3.10.2.10</t>
  </si>
  <si>
    <t>PLANILHA ORÇAMENTÁRIA - REFORMA E AMPLIAÇÃO DA E. M. ADRIANO QUEIROZ PIMENTEL</t>
  </si>
  <si>
    <t>CRONOGRAMA FÍSICO FINANCEIRO - REFORMA E AMPLIAÇÃO DA E. M. ADRIANO QUEIROZ PIMENTEL</t>
  </si>
  <si>
    <t>5.9.2</t>
  </si>
  <si>
    <t>16.07.023</t>
  </si>
  <si>
    <t>BC-25 BANCO DE CONCRETO PRE-FABRICADO (L=216CM)</t>
  </si>
  <si>
    <t>PINTURA PARA ESTRUTURA DE ALUMINIO C/ TINTA ESMALTE AUTOMOTIVA (LOGOTIPO E NOME ESCOLA)</t>
  </si>
  <si>
    <t>5.8.8</t>
  </si>
  <si>
    <t>ÁREA EXTERNA</t>
  </si>
  <si>
    <t>RETIRADA DE ESQUADRIA METÁLICA EM GERAL (PORTÃO)</t>
  </si>
  <si>
    <t>3.10.1.9</t>
  </si>
  <si>
    <t>3.10.1.10</t>
  </si>
  <si>
    <t>3.10.1.11</t>
  </si>
  <si>
    <t>3.10.1.12</t>
  </si>
  <si>
    <t>3.10.1.13</t>
  </si>
  <si>
    <t>2.5.22</t>
  </si>
  <si>
    <t>2.5.23</t>
  </si>
  <si>
    <t>COMP11</t>
  </si>
  <si>
    <t>ESTACA BROCA DE CONCRETO, DIÂMETRO DE 25CM, ESCAVAÇÃO MANUAL COM TRADO CONCHA, INTEIRAMENTE ARMADA, INCLUSO CONCRETAGEM FCK 25 MPA. AF_05/2020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</si>
</sst>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#,##0.00&quot; &quot;;&quot;(&quot;#,##0.00&quot;)&quot;;&quot;-&quot;#&quot; &quot;;&quot; &quot;@&quot; &quot;"/>
    <numFmt numFmtId="165" formatCode="&quot;R$ &quot;#,##0.00"/>
    <numFmt numFmtId="166" formatCode="[$R$-416]&quot; &quot;#,##0.00;[Red]&quot;-&quot;[$R$-416]&quot; &quot;#,##0.00"/>
    <numFmt numFmtId="167" formatCode="#,##0.00&quot; &quot;;#,##0.00&quot; &quot;;&quot;-&quot;#&quot; &quot;;&quot; &quot;@&quot; &quot;"/>
    <numFmt numFmtId="168" formatCode="[$R$-416]\ #,##0.00;[Red][$R$-416]\ #,##0.00"/>
  </numFmts>
  <fonts count="27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9"/>
      <color rgb="FF000000"/>
      <name val="Arial1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entury Gothic"/>
      <family val="2"/>
    </font>
    <font>
      <sz val="9"/>
      <color rgb="FF000000"/>
      <name val="Century Gothic"/>
      <family val="2"/>
    </font>
    <font>
      <b/>
      <sz val="10"/>
      <color rgb="FF3465A4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A6A6A6"/>
        <bgColor rgb="FFA6A6A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DDDDD"/>
      </patternFill>
    </fill>
    <fill>
      <patternFill patternType="solid">
        <fgColor theme="0" tint="-0.34998626667073579"/>
        <bgColor rgb="FF5983B0"/>
      </patternFill>
    </fill>
    <fill>
      <patternFill patternType="solid">
        <fgColor theme="0" tint="-0.249977111117893"/>
        <bgColor rgb="FFB4C7D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9D9D9"/>
      </patternFill>
    </fill>
  </fills>
  <borders count="3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167" fontId="6" fillId="0" borderId="0"/>
    <xf numFmtId="167" fontId="6" fillId="0" borderId="0"/>
    <xf numFmtId="0" fontId="7" fillId="0" borderId="0"/>
    <xf numFmtId="0" fontId="8" fillId="0" borderId="0"/>
    <xf numFmtId="0" fontId="9" fillId="7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8" borderId="0"/>
    <xf numFmtId="0" fontId="15" fillId="0" borderId="0"/>
    <xf numFmtId="0" fontId="16" fillId="8" borderId="1"/>
    <xf numFmtId="0" fontId="17" fillId="0" borderId="0"/>
    <xf numFmtId="0" fontId="1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2">
    <xf numFmtId="0" fontId="0" fillId="0" borderId="0" xfId="0"/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4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166" fontId="22" fillId="0" borderId="0" xfId="0" applyNumberFormat="1" applyFont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8" fillId="0" borderId="9" xfId="0" applyFont="1" applyBorder="1" applyAlignment="1">
      <alignment horizontal="left" vertical="center"/>
    </xf>
    <xf numFmtId="4" fontId="19" fillId="0" borderId="9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>
      <alignment vertical="center"/>
    </xf>
    <xf numFmtId="166" fontId="19" fillId="0" borderId="9" xfId="0" applyNumberFormat="1" applyFont="1" applyBorder="1" applyAlignment="1">
      <alignment horizontal="center" vertical="center"/>
    </xf>
    <xf numFmtId="0" fontId="21" fillId="0" borderId="0" xfId="0" applyFont="1"/>
    <xf numFmtId="0" fontId="23" fillId="11" borderId="7" xfId="0" applyFont="1" applyFill="1" applyBorder="1" applyAlignment="1">
      <alignment vertical="center"/>
    </xf>
    <xf numFmtId="0" fontId="23" fillId="11" borderId="7" xfId="0" applyFont="1" applyFill="1" applyBorder="1" applyAlignment="1" applyProtection="1">
      <alignment horizontal="center" vertical="center"/>
      <protection locked="0"/>
    </xf>
    <xf numFmtId="0" fontId="23" fillId="11" borderId="7" xfId="0" applyFont="1" applyFill="1" applyBorder="1" applyAlignment="1">
      <alignment horizontal="center" vertical="center"/>
    </xf>
    <xf numFmtId="1" fontId="24" fillId="0" borderId="7" xfId="17" applyNumberFormat="1" applyFont="1" applyBorder="1" applyAlignment="1">
      <alignment horizontal="center" vertical="center"/>
    </xf>
    <xf numFmtId="2" fontId="24" fillId="0" borderId="7" xfId="17" applyNumberFormat="1" applyFont="1" applyBorder="1" applyAlignment="1">
      <alignment vertical="center"/>
    </xf>
    <xf numFmtId="165" fontId="24" fillId="0" borderId="7" xfId="17" applyNumberFormat="1" applyFont="1" applyBorder="1" applyAlignment="1">
      <alignment horizontal="center" vertical="center"/>
    </xf>
    <xf numFmtId="10" fontId="24" fillId="0" borderId="7" xfId="0" applyNumberFormat="1" applyFont="1" applyBorder="1" applyAlignment="1">
      <alignment horizontal="center" vertical="center"/>
    </xf>
    <xf numFmtId="10" fontId="24" fillId="0" borderId="7" xfId="0" applyNumberFormat="1" applyFont="1" applyBorder="1" applyAlignment="1">
      <alignment horizontal="right" vertical="center"/>
    </xf>
    <xf numFmtId="165" fontId="24" fillId="0" borderId="7" xfId="0" applyNumberFormat="1" applyFont="1" applyBorder="1" applyAlignment="1">
      <alignment horizontal="right" vertical="center"/>
    </xf>
    <xf numFmtId="0" fontId="24" fillId="0" borderId="0" xfId="0" applyFont="1"/>
    <xf numFmtId="2" fontId="24" fillId="0" borderId="7" xfId="17" applyNumberFormat="1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5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center" vertical="center"/>
    </xf>
    <xf numFmtId="0" fontId="18" fillId="9" borderId="16" xfId="0" applyFont="1" applyFill="1" applyBorder="1" applyAlignment="1" applyProtection="1">
      <alignment horizontal="center" vertical="center"/>
      <protection locked="0"/>
    </xf>
    <xf numFmtId="0" fontId="18" fillId="9" borderId="16" xfId="0" applyFont="1" applyFill="1" applyBorder="1" applyAlignment="1" applyProtection="1">
      <alignment horizontal="center" vertical="center" wrapText="1"/>
      <protection hidden="1"/>
    </xf>
    <xf numFmtId="4" fontId="18" fillId="9" borderId="16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4" fontId="19" fillId="0" borderId="0" xfId="0" applyNumberFormat="1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4" fontId="18" fillId="0" borderId="0" xfId="0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0" fontId="19" fillId="19" borderId="0" xfId="0" applyFont="1" applyFill="1" applyAlignment="1">
      <alignment vertical="center"/>
    </xf>
    <xf numFmtId="0" fontId="19" fillId="18" borderId="13" xfId="0" applyFont="1" applyFill="1" applyBorder="1" applyAlignment="1" applyProtection="1">
      <alignment vertical="center"/>
      <protection locked="0"/>
    </xf>
    <xf numFmtId="0" fontId="19" fillId="18" borderId="3" xfId="0" applyFont="1" applyFill="1" applyBorder="1" applyAlignment="1" applyProtection="1">
      <alignment vertical="center"/>
      <protection locked="0"/>
    </xf>
    <xf numFmtId="0" fontId="18" fillId="18" borderId="16" xfId="0" applyFont="1" applyFill="1" applyBorder="1" applyAlignment="1" applyProtection="1">
      <alignment horizontal="center" vertical="center"/>
      <protection locked="0"/>
    </xf>
    <xf numFmtId="0" fontId="18" fillId="13" borderId="16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4" fontId="19" fillId="0" borderId="16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 applyProtection="1">
      <alignment horizontal="left" vertical="center" wrapText="1"/>
      <protection hidden="1"/>
    </xf>
    <xf numFmtId="0" fontId="19" fillId="0" borderId="16" xfId="0" applyFont="1" applyFill="1" applyBorder="1" applyAlignment="1" applyProtection="1">
      <alignment horizontal="center" vertical="center"/>
      <protection hidden="1"/>
    </xf>
    <xf numFmtId="0" fontId="19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center" vertical="center" wrapText="1"/>
      <protection hidden="1"/>
    </xf>
    <xf numFmtId="4" fontId="26" fillId="0" borderId="16" xfId="0" applyNumberFormat="1" applyFont="1" applyFill="1" applyBorder="1" applyAlignment="1">
      <alignment horizontal="center" vertical="center" wrapText="1"/>
    </xf>
    <xf numFmtId="0" fontId="18" fillId="18" borderId="25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/>
    <xf numFmtId="0" fontId="19" fillId="18" borderId="0" xfId="0" applyFont="1" applyFill="1"/>
    <xf numFmtId="0" fontId="19" fillId="17" borderId="0" xfId="0" applyFont="1" applyFill="1"/>
    <xf numFmtId="10" fontId="19" fillId="0" borderId="29" xfId="0" applyNumberFormat="1" applyFont="1" applyFill="1" applyBorder="1" applyAlignment="1">
      <alignment horizontal="center" vertical="center"/>
    </xf>
    <xf numFmtId="4" fontId="19" fillId="0" borderId="29" xfId="0" applyNumberFormat="1" applyFont="1" applyFill="1" applyBorder="1" applyAlignment="1">
      <alignment horizontal="center" vertical="center" wrapText="1"/>
    </xf>
    <xf numFmtId="0" fontId="18" fillId="13" borderId="18" xfId="0" applyFont="1" applyFill="1" applyBorder="1" applyAlignment="1" applyProtection="1">
      <alignment horizontal="left" vertical="center" wrapText="1"/>
      <protection locked="0"/>
    </xf>
    <xf numFmtId="0" fontId="18" fillId="18" borderId="18" xfId="0" applyFont="1" applyFill="1" applyBorder="1" applyAlignment="1" applyProtection="1">
      <alignment horizontal="left" vertical="center" wrapText="1"/>
      <protection hidden="1"/>
    </xf>
    <xf numFmtId="0" fontId="19" fillId="18" borderId="20" xfId="0" applyFont="1" applyFill="1" applyBorder="1" applyAlignment="1" applyProtection="1">
      <alignment vertical="center"/>
      <protection hidden="1"/>
    </xf>
    <xf numFmtId="0" fontId="19" fillId="18" borderId="19" xfId="0" applyFont="1" applyFill="1" applyBorder="1" applyAlignment="1" applyProtection="1">
      <alignment vertical="center"/>
      <protection hidden="1"/>
    </xf>
    <xf numFmtId="4" fontId="19" fillId="0" borderId="25" xfId="0" applyNumberFormat="1" applyFont="1" applyFill="1" applyBorder="1" applyAlignment="1">
      <alignment horizontal="center" vertical="center" wrapText="1"/>
    </xf>
    <xf numFmtId="10" fontId="19" fillId="0" borderId="25" xfId="0" applyNumberFormat="1" applyFont="1" applyFill="1" applyBorder="1" applyAlignment="1">
      <alignment horizontal="center" vertical="center"/>
    </xf>
    <xf numFmtId="0" fontId="19" fillId="0" borderId="29" xfId="0" applyFont="1" applyFill="1" applyBorder="1" applyAlignment="1" applyProtection="1">
      <alignment horizontal="left" vertical="center" wrapText="1"/>
      <protection hidden="1"/>
    </xf>
    <xf numFmtId="0" fontId="19" fillId="0" borderId="29" xfId="0" applyFont="1" applyFill="1" applyBorder="1" applyAlignment="1" applyProtection="1">
      <alignment horizontal="center" vertical="center"/>
      <protection hidden="1"/>
    </xf>
    <xf numFmtId="44" fontId="19" fillId="0" borderId="29" xfId="23" applyFont="1" applyFill="1" applyBorder="1" applyAlignment="1">
      <alignment horizontal="center" vertical="center" wrapText="1"/>
    </xf>
    <xf numFmtId="0" fontId="19" fillId="0" borderId="25" xfId="0" applyFont="1" applyFill="1" applyBorder="1" applyAlignment="1" applyProtection="1">
      <alignment horizontal="left" vertical="center" wrapText="1"/>
      <protection hidden="1"/>
    </xf>
    <xf numFmtId="0" fontId="19" fillId="0" borderId="25" xfId="0" applyFont="1" applyFill="1" applyBorder="1" applyAlignment="1" applyProtection="1">
      <alignment horizontal="center" vertical="center"/>
      <protection hidden="1"/>
    </xf>
    <xf numFmtId="0" fontId="19" fillId="0" borderId="25" xfId="0" applyFont="1" applyFill="1" applyBorder="1" applyAlignment="1" applyProtection="1">
      <alignment horizontal="center" vertical="center" wrapText="1"/>
      <protection hidden="1"/>
    </xf>
    <xf numFmtId="0" fontId="19" fillId="0" borderId="29" xfId="0" applyFont="1" applyFill="1" applyBorder="1" applyAlignment="1" applyProtection="1">
      <alignment horizontal="center" vertical="center" wrapText="1"/>
      <protection hidden="1"/>
    </xf>
    <xf numFmtId="0" fontId="18" fillId="21" borderId="18" xfId="0" applyFont="1" applyFill="1" applyBorder="1" applyAlignment="1" applyProtection="1">
      <alignment horizontal="left" vertical="center" wrapText="1"/>
      <protection locked="0"/>
    </xf>
    <xf numFmtId="0" fontId="18" fillId="21" borderId="20" xfId="0" applyFont="1" applyFill="1" applyBorder="1" applyAlignment="1" applyProtection="1">
      <alignment horizontal="left" vertical="center" wrapText="1"/>
      <protection locked="0"/>
    </xf>
    <xf numFmtId="0" fontId="19" fillId="21" borderId="19" xfId="0" applyFont="1" applyFill="1" applyBorder="1" applyAlignment="1">
      <alignment vertical="center"/>
    </xf>
    <xf numFmtId="0" fontId="19" fillId="18" borderId="18" xfId="0" applyFont="1" applyFill="1" applyBorder="1" applyAlignment="1" applyProtection="1">
      <alignment horizontal="center" vertical="center"/>
      <protection locked="0"/>
    </xf>
    <xf numFmtId="0" fontId="18" fillId="18" borderId="18" xfId="0" applyFont="1" applyFill="1" applyBorder="1" applyAlignment="1" applyProtection="1">
      <alignment horizontal="left" vertical="center" wrapText="1"/>
      <protection locked="0"/>
    </xf>
    <xf numFmtId="0" fontId="18" fillId="18" borderId="20" xfId="0" applyFont="1" applyFill="1" applyBorder="1" applyAlignment="1" applyProtection="1">
      <alignment horizontal="left" vertical="center" wrapText="1"/>
      <protection locked="0"/>
    </xf>
    <xf numFmtId="0" fontId="19" fillId="18" borderId="20" xfId="0" applyFont="1" applyFill="1" applyBorder="1" applyAlignment="1" applyProtection="1">
      <alignment horizontal="left" vertical="center" wrapText="1"/>
      <protection locked="0"/>
    </xf>
    <xf numFmtId="0" fontId="19" fillId="18" borderId="19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 wrapText="1"/>
    </xf>
    <xf numFmtId="44" fontId="26" fillId="0" borderId="16" xfId="23" applyFont="1" applyFill="1" applyBorder="1" applyAlignment="1">
      <alignment horizontal="center" vertical="center" wrapText="1"/>
    </xf>
    <xf numFmtId="4" fontId="19" fillId="0" borderId="16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 applyAlignment="1" applyProtection="1">
      <alignment horizontal="left" vertical="center" wrapText="1"/>
      <protection hidden="1"/>
    </xf>
    <xf numFmtId="0" fontId="19" fillId="0" borderId="25" xfId="0" applyFont="1" applyFill="1" applyBorder="1" applyAlignment="1" applyProtection="1">
      <alignment horizontal="center" vertical="center"/>
      <protection locked="0"/>
    </xf>
    <xf numFmtId="0" fontId="19" fillId="15" borderId="0" xfId="0" applyFont="1" applyFill="1" applyAlignment="1">
      <alignment vertical="center"/>
    </xf>
    <xf numFmtId="0" fontId="19" fillId="0" borderId="32" xfId="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left" vertical="center" wrapText="1"/>
      <protection hidden="1"/>
    </xf>
    <xf numFmtId="0" fontId="18" fillId="18" borderId="7" xfId="0" applyFont="1" applyFill="1" applyBorder="1" applyAlignment="1" applyProtection="1">
      <alignment horizontal="left" vertical="center" wrapText="1"/>
      <protection hidden="1"/>
    </xf>
    <xf numFmtId="0" fontId="19" fillId="0" borderId="26" xfId="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 wrapText="1"/>
      <protection hidden="1"/>
    </xf>
    <xf numFmtId="0" fontId="19" fillId="18" borderId="9" xfId="0" applyFont="1" applyFill="1" applyBorder="1" applyAlignment="1" applyProtection="1">
      <alignment vertical="center"/>
      <protection locked="0"/>
    </xf>
    <xf numFmtId="0" fontId="19" fillId="17" borderId="0" xfId="0" applyFont="1" applyFill="1" applyAlignment="1">
      <alignment vertical="center"/>
    </xf>
    <xf numFmtId="0" fontId="18" fillId="16" borderId="18" xfId="0" applyFont="1" applyFill="1" applyBorder="1" applyAlignment="1" applyProtection="1">
      <alignment horizontal="left" vertical="center" wrapText="1"/>
      <protection hidden="1"/>
    </xf>
    <xf numFmtId="0" fontId="19" fillId="16" borderId="20" xfId="0" applyFont="1" applyFill="1" applyBorder="1" applyAlignment="1" applyProtection="1">
      <alignment vertical="center"/>
      <protection hidden="1"/>
    </xf>
    <xf numFmtId="0" fontId="19" fillId="16" borderId="19" xfId="0" applyFont="1" applyFill="1" applyBorder="1" applyAlignment="1" applyProtection="1">
      <alignment vertical="center"/>
      <protection hidden="1"/>
    </xf>
    <xf numFmtId="0" fontId="19" fillId="16" borderId="0" xfId="0" applyFont="1" applyFill="1" applyAlignment="1">
      <alignment vertical="center"/>
    </xf>
    <xf numFmtId="44" fontId="19" fillId="0" borderId="7" xfId="23" applyFont="1" applyFill="1" applyBorder="1" applyAlignment="1">
      <alignment horizontal="center" vertical="center" wrapText="1"/>
    </xf>
    <xf numFmtId="44" fontId="19" fillId="0" borderId="7" xfId="23" applyFont="1" applyFill="1" applyBorder="1" applyAlignment="1">
      <alignment horizontal="right" vertical="center" wrapText="1"/>
    </xf>
    <xf numFmtId="0" fontId="19" fillId="0" borderId="27" xfId="0" applyFont="1" applyFill="1" applyBorder="1" applyAlignment="1" applyProtection="1">
      <alignment horizontal="center" vertical="center"/>
      <protection hidden="1"/>
    </xf>
    <xf numFmtId="44" fontId="19" fillId="0" borderId="27" xfId="23" applyFont="1" applyFill="1" applyBorder="1" applyAlignment="1">
      <alignment horizontal="center" vertical="center" wrapText="1"/>
    </xf>
    <xf numFmtId="44" fontId="19" fillId="0" borderId="27" xfId="23" applyFont="1" applyFill="1" applyBorder="1" applyAlignment="1">
      <alignment horizontal="right" vertical="center" wrapText="1"/>
    </xf>
    <xf numFmtId="44" fontId="19" fillId="0" borderId="16" xfId="23" applyFont="1" applyFill="1" applyBorder="1" applyAlignment="1">
      <alignment horizontal="right" vertical="center" wrapText="1"/>
    </xf>
    <xf numFmtId="0" fontId="19" fillId="0" borderId="11" xfId="0" applyFont="1" applyFill="1" applyBorder="1" applyAlignment="1" applyProtection="1">
      <alignment horizontal="left" vertical="center" wrapText="1"/>
      <protection hidden="1"/>
    </xf>
    <xf numFmtId="0" fontId="19" fillId="0" borderId="26" xfId="0" applyFont="1" applyFill="1" applyBorder="1" applyAlignment="1" applyProtection="1">
      <alignment horizontal="center" vertical="center"/>
      <protection hidden="1"/>
    </xf>
    <xf numFmtId="44" fontId="19" fillId="0" borderId="25" xfId="23" applyFont="1" applyFill="1" applyBorder="1" applyAlignment="1">
      <alignment horizontal="center" vertical="center" wrapText="1"/>
    </xf>
    <xf numFmtId="44" fontId="19" fillId="0" borderId="25" xfId="23" applyFont="1" applyFill="1" applyBorder="1" applyAlignment="1">
      <alignment horizontal="right" vertical="center" wrapText="1"/>
    </xf>
    <xf numFmtId="44" fontId="19" fillId="0" borderId="26" xfId="23" applyFont="1" applyFill="1" applyBorder="1" applyAlignment="1">
      <alignment horizontal="center" vertical="center" wrapText="1"/>
    </xf>
    <xf numFmtId="44" fontId="19" fillId="0" borderId="26" xfId="23" applyFont="1" applyFill="1" applyBorder="1" applyAlignment="1">
      <alignment horizontal="right" vertical="center" wrapText="1"/>
    </xf>
    <xf numFmtId="0" fontId="19" fillId="0" borderId="29" xfId="0" applyFont="1" applyFill="1" applyBorder="1" applyAlignment="1" applyProtection="1">
      <alignment horizontal="center" vertical="center"/>
      <protection locked="0"/>
    </xf>
    <xf numFmtId="0" fontId="19" fillId="0" borderId="26" xfId="0" applyFont="1" applyFill="1" applyBorder="1" applyAlignment="1" applyProtection="1">
      <alignment horizontal="left" vertical="center" wrapText="1"/>
      <protection hidden="1"/>
    </xf>
    <xf numFmtId="0" fontId="19" fillId="0" borderId="2" xfId="0" applyFont="1" applyFill="1" applyBorder="1" applyAlignment="1" applyProtection="1">
      <alignment horizontal="left" vertical="center" wrapText="1"/>
      <protection hidden="1"/>
    </xf>
    <xf numFmtId="0" fontId="19" fillId="0" borderId="18" xfId="0" applyFont="1" applyFill="1" applyBorder="1" applyAlignment="1" applyProtection="1">
      <alignment horizontal="left" vertical="center" wrapText="1"/>
      <protection hidden="1"/>
    </xf>
    <xf numFmtId="0" fontId="19" fillId="0" borderId="28" xfId="0" applyFont="1" applyFill="1" applyBorder="1" applyAlignment="1" applyProtection="1">
      <alignment horizontal="left" vertical="center" wrapText="1"/>
      <protection hidden="1"/>
    </xf>
    <xf numFmtId="44" fontId="19" fillId="0" borderId="12" xfId="23" applyFont="1" applyFill="1" applyBorder="1" applyAlignment="1">
      <alignment horizontal="right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44" fontId="19" fillId="0" borderId="0" xfId="0" applyNumberFormat="1" applyFont="1" applyFill="1" applyAlignment="1">
      <alignment vertical="center"/>
    </xf>
    <xf numFmtId="10" fontId="18" fillId="14" borderId="7" xfId="0" applyNumberFormat="1" applyFont="1" applyFill="1" applyBorder="1" applyAlignment="1">
      <alignment horizontal="center" vertical="center"/>
    </xf>
    <xf numFmtId="44" fontId="19" fillId="0" borderId="12" xfId="23" applyFont="1" applyFill="1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/>
      <protection locked="0"/>
    </xf>
    <xf numFmtId="44" fontId="19" fillId="0" borderId="22" xfId="2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8" fillId="18" borderId="29" xfId="0" applyFont="1" applyFill="1" applyBorder="1" applyAlignment="1" applyProtection="1">
      <alignment horizontal="center" vertical="center"/>
      <protection locked="0"/>
    </xf>
    <xf numFmtId="0" fontId="18" fillId="18" borderId="32" xfId="0" applyFont="1" applyFill="1" applyBorder="1" applyAlignment="1" applyProtection="1">
      <alignment horizontal="left" vertical="center" wrapText="1"/>
      <protection hidden="1"/>
    </xf>
    <xf numFmtId="0" fontId="18" fillId="18" borderId="16" xfId="0" applyFont="1" applyFill="1" applyBorder="1" applyAlignment="1" applyProtection="1">
      <alignment horizontal="left" vertical="center" wrapText="1"/>
      <protection hidden="1"/>
    </xf>
    <xf numFmtId="10" fontId="18" fillId="14" borderId="16" xfId="0" applyNumberFormat="1" applyFont="1" applyFill="1" applyBorder="1" applyAlignment="1">
      <alignment horizontal="center" vertical="center"/>
    </xf>
    <xf numFmtId="44" fontId="19" fillId="0" borderId="24" xfId="2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44" fontId="19" fillId="0" borderId="0" xfId="23" applyFont="1" applyFill="1" applyBorder="1" applyAlignment="1">
      <alignment horizontal="center" vertical="center" wrapText="1"/>
    </xf>
    <xf numFmtId="0" fontId="19" fillId="18" borderId="0" xfId="0" applyFont="1" applyFill="1" applyBorder="1" applyAlignment="1">
      <alignment vertical="center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10" borderId="27" xfId="0" applyFont="1" applyFill="1" applyBorder="1" applyAlignment="1" applyProtection="1">
      <alignment horizontal="center" vertical="center"/>
      <protection locked="0"/>
    </xf>
    <xf numFmtId="0" fontId="19" fillId="10" borderId="16" xfId="0" applyFont="1" applyFill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left" vertical="center" wrapText="1"/>
      <protection hidden="1"/>
    </xf>
    <xf numFmtId="0" fontId="19" fillId="0" borderId="0" xfId="0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vertical="center"/>
    </xf>
    <xf numFmtId="0" fontId="19" fillId="0" borderId="32" xfId="0" applyFont="1" applyBorder="1" applyAlignment="1" applyProtection="1">
      <alignment horizontal="left" vertical="center" wrapText="1"/>
      <protection hidden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8" fillId="14" borderId="12" xfId="0" applyNumberFormat="1" applyFont="1" applyFill="1" applyBorder="1" applyAlignment="1">
      <alignment horizontal="center" vertical="center"/>
    </xf>
    <xf numFmtId="10" fontId="18" fillId="14" borderId="10" xfId="0" applyNumberFormat="1" applyFont="1" applyFill="1" applyBorder="1" applyAlignment="1">
      <alignment horizontal="center" vertical="center"/>
    </xf>
    <xf numFmtId="0" fontId="18" fillId="16" borderId="16" xfId="0" applyFont="1" applyFill="1" applyBorder="1" applyAlignment="1" applyProtection="1">
      <alignment horizontal="center" vertical="center"/>
      <protection locked="0"/>
    </xf>
    <xf numFmtId="0" fontId="18" fillId="18" borderId="27" xfId="0" applyFont="1" applyFill="1" applyBorder="1" applyAlignment="1" applyProtection="1">
      <alignment horizontal="left" vertical="center" wrapText="1"/>
      <protection hidden="1"/>
    </xf>
    <xf numFmtId="0" fontId="19" fillId="16" borderId="13" xfId="0" applyFont="1" applyFill="1" applyBorder="1" applyAlignment="1" applyProtection="1">
      <alignment vertical="center"/>
      <protection locked="0"/>
    </xf>
    <xf numFmtId="0" fontId="19" fillId="18" borderId="23" xfId="0" applyFont="1" applyFill="1" applyBorder="1" applyAlignment="1" applyProtection="1">
      <alignment vertical="center"/>
      <protection hidden="1"/>
    </xf>
    <xf numFmtId="0" fontId="19" fillId="18" borderId="24" xfId="0" applyFont="1" applyFill="1" applyBorder="1" applyAlignment="1" applyProtection="1">
      <alignment vertical="center"/>
      <protection hidden="1"/>
    </xf>
    <xf numFmtId="0" fontId="18" fillId="18" borderId="31" xfId="0" applyFont="1" applyFill="1" applyBorder="1" applyAlignment="1" applyProtection="1">
      <alignment horizontal="left" vertical="center" wrapText="1"/>
      <protection hidden="1"/>
    </xf>
    <xf numFmtId="0" fontId="26" fillId="0" borderId="0" xfId="0" applyFont="1" applyFill="1" applyBorder="1" applyAlignment="1">
      <alignment vertical="center"/>
    </xf>
    <xf numFmtId="44" fontId="19" fillId="0" borderId="16" xfId="23" applyFont="1" applyFill="1" applyBorder="1" applyAlignment="1">
      <alignment horizontal="center" vertical="center" wrapText="1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44" fontId="19" fillId="0" borderId="0" xfId="23" applyFont="1" applyAlignment="1">
      <alignment horizontal="center" vertical="center"/>
    </xf>
    <xf numFmtId="44" fontId="19" fillId="0" borderId="0" xfId="23" applyFont="1" applyBorder="1" applyAlignment="1">
      <alignment vertical="center"/>
    </xf>
    <xf numFmtId="44" fontId="19" fillId="0" borderId="0" xfId="23" applyFont="1" applyAlignment="1">
      <alignment vertical="center"/>
    </xf>
    <xf numFmtId="44" fontId="18" fillId="9" borderId="16" xfId="23" applyFont="1" applyFill="1" applyBorder="1" applyAlignment="1">
      <alignment horizontal="center" vertical="center" wrapText="1"/>
    </xf>
    <xf numFmtId="44" fontId="18" fillId="0" borderId="0" xfId="23" applyFont="1" applyAlignment="1">
      <alignment horizontal="center" vertical="center" wrapText="1"/>
    </xf>
    <xf numFmtId="44" fontId="18" fillId="14" borderId="29" xfId="23" applyFont="1" applyFill="1" applyBorder="1" applyAlignment="1">
      <alignment horizontal="right" vertical="center"/>
    </xf>
    <xf numFmtId="44" fontId="18" fillId="14" borderId="7" xfId="23" applyFont="1" applyFill="1" applyBorder="1" applyAlignment="1">
      <alignment horizontal="right" vertical="center"/>
    </xf>
    <xf numFmtId="44" fontId="18" fillId="14" borderId="16" xfId="23" applyFont="1" applyFill="1" applyBorder="1" applyAlignment="1">
      <alignment horizontal="right" vertical="center"/>
    </xf>
    <xf numFmtId="44" fontId="18" fillId="14" borderId="27" xfId="23" applyFont="1" applyFill="1" applyBorder="1" applyAlignment="1">
      <alignment horizontal="right" vertical="center"/>
    </xf>
    <xf numFmtId="44" fontId="18" fillId="14" borderId="12" xfId="23" applyFont="1" applyFill="1" applyBorder="1" applyAlignment="1">
      <alignment horizontal="right" vertical="center"/>
    </xf>
    <xf numFmtId="44" fontId="19" fillId="16" borderId="20" xfId="23" applyFont="1" applyFill="1" applyBorder="1" applyAlignment="1" applyProtection="1">
      <alignment vertical="center"/>
      <protection hidden="1"/>
    </xf>
    <xf numFmtId="44" fontId="19" fillId="18" borderId="20" xfId="23" applyFont="1" applyFill="1" applyBorder="1" applyAlignment="1" applyProtection="1">
      <alignment vertical="center"/>
      <protection hidden="1"/>
    </xf>
    <xf numFmtId="44" fontId="19" fillId="18" borderId="23" xfId="23" applyFont="1" applyFill="1" applyBorder="1" applyAlignment="1" applyProtection="1">
      <alignment vertical="center"/>
      <protection hidden="1"/>
    </xf>
    <xf numFmtId="44" fontId="18" fillId="0" borderId="0" xfId="23" applyFont="1" applyAlignment="1">
      <alignment horizontal="right" vertical="center"/>
    </xf>
    <xf numFmtId="44" fontId="19" fillId="21" borderId="20" xfId="23" applyFont="1" applyFill="1" applyBorder="1" applyAlignment="1">
      <alignment horizontal="center" vertical="center"/>
    </xf>
    <xf numFmtId="44" fontId="19" fillId="18" borderId="20" xfId="23" applyFont="1" applyFill="1" applyBorder="1" applyAlignment="1">
      <alignment horizontal="center" vertical="center"/>
    </xf>
    <xf numFmtId="44" fontId="19" fillId="0" borderId="6" xfId="23" applyFont="1" applyBorder="1" applyAlignment="1">
      <alignment vertical="center"/>
    </xf>
    <xf numFmtId="44" fontId="18" fillId="18" borderId="16" xfId="23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/>
    </xf>
    <xf numFmtId="44" fontId="18" fillId="21" borderId="20" xfId="23" applyFont="1" applyFill="1" applyBorder="1" applyAlignment="1" applyProtection="1">
      <alignment horizontal="left" vertical="center" wrapText="1"/>
      <protection locked="0"/>
    </xf>
    <xf numFmtId="44" fontId="18" fillId="18" borderId="20" xfId="23" applyFont="1" applyFill="1" applyBorder="1" applyAlignment="1" applyProtection="1">
      <alignment horizontal="left" vertical="center" wrapText="1"/>
      <protection locked="0"/>
    </xf>
    <xf numFmtId="0" fontId="19" fillId="18" borderId="0" xfId="0" applyFont="1" applyFill="1" applyAlignment="1">
      <alignment vertical="center"/>
    </xf>
    <xf numFmtId="0" fontId="18" fillId="18" borderId="3" xfId="0" applyFont="1" applyFill="1" applyBorder="1" applyAlignment="1" applyProtection="1">
      <alignment vertical="center"/>
      <protection locked="0"/>
    </xf>
    <xf numFmtId="0" fontId="18" fillId="22" borderId="18" xfId="0" applyFont="1" applyFill="1" applyBorder="1" applyAlignment="1" applyProtection="1">
      <alignment horizontal="left" vertical="center" wrapText="1"/>
      <protection hidden="1"/>
    </xf>
    <xf numFmtId="0" fontId="18" fillId="18" borderId="20" xfId="0" applyFont="1" applyFill="1" applyBorder="1" applyAlignment="1" applyProtection="1">
      <alignment vertical="center"/>
      <protection hidden="1"/>
    </xf>
    <xf numFmtId="44" fontId="18" fillId="18" borderId="20" xfId="23" applyFont="1" applyFill="1" applyBorder="1" applyAlignment="1" applyProtection="1">
      <alignment vertical="center"/>
      <protection hidden="1"/>
    </xf>
    <xf numFmtId="0" fontId="18" fillId="18" borderId="19" xfId="0" applyFont="1" applyFill="1" applyBorder="1" applyAlignment="1" applyProtection="1">
      <alignment vertical="center"/>
      <protection hidden="1"/>
    </xf>
    <xf numFmtId="0" fontId="18" fillId="18" borderId="18" xfId="0" applyFont="1" applyFill="1" applyBorder="1" applyAlignment="1" applyProtection="1">
      <alignment horizontal="center" vertical="center"/>
      <protection locked="0"/>
    </xf>
    <xf numFmtId="0" fontId="18" fillId="22" borderId="20" xfId="0" applyFont="1" applyFill="1" applyBorder="1" applyAlignment="1" applyProtection="1">
      <alignment horizontal="left" vertical="center" wrapText="1"/>
      <protection hidden="1"/>
    </xf>
    <xf numFmtId="0" fontId="18" fillId="18" borderId="0" xfId="0" applyFont="1" applyFill="1" applyBorder="1" applyAlignment="1" applyProtection="1">
      <alignment vertical="center"/>
      <protection locked="0"/>
    </xf>
    <xf numFmtId="0" fontId="18" fillId="18" borderId="18" xfId="0" applyFont="1" applyFill="1" applyBorder="1" applyAlignment="1" applyProtection="1">
      <alignment vertical="center"/>
      <protection locked="0"/>
    </xf>
    <xf numFmtId="0" fontId="18" fillId="18" borderId="19" xfId="0" applyFont="1" applyFill="1" applyBorder="1" applyAlignment="1" applyProtection="1">
      <alignment vertical="center"/>
      <protection locked="0"/>
    </xf>
    <xf numFmtId="0" fontId="18" fillId="18" borderId="20" xfId="0" applyFont="1" applyFill="1" applyBorder="1" applyAlignment="1" applyProtection="1">
      <alignment horizontal="left" vertical="center" wrapText="1"/>
      <protection hidden="1"/>
    </xf>
    <xf numFmtId="0" fontId="19" fillId="18" borderId="18" xfId="0" applyFont="1" applyFill="1" applyBorder="1" applyAlignment="1" applyProtection="1">
      <alignment vertical="center"/>
      <protection locked="0"/>
    </xf>
    <xf numFmtId="0" fontId="19" fillId="18" borderId="19" xfId="0" applyFont="1" applyFill="1" applyBorder="1" applyAlignment="1" applyProtection="1">
      <alignment vertical="center"/>
      <protection locked="0"/>
    </xf>
    <xf numFmtId="0" fontId="18" fillId="20" borderId="16" xfId="0" applyFont="1" applyFill="1" applyBorder="1" applyAlignment="1" applyProtection="1">
      <alignment horizontal="center" vertical="center"/>
      <protection locked="0"/>
    </xf>
    <xf numFmtId="0" fontId="18" fillId="20" borderId="18" xfId="0" applyFont="1" applyFill="1" applyBorder="1" applyAlignment="1" applyProtection="1">
      <alignment horizontal="left" vertical="center" wrapText="1"/>
      <protection hidden="1"/>
    </xf>
    <xf numFmtId="0" fontId="18" fillId="20" borderId="20" xfId="0" applyFont="1" applyFill="1" applyBorder="1" applyAlignment="1" applyProtection="1">
      <alignment horizontal="center" vertical="center"/>
      <protection hidden="1"/>
    </xf>
    <xf numFmtId="4" fontId="18" fillId="20" borderId="20" xfId="0" applyNumberFormat="1" applyFont="1" applyFill="1" applyBorder="1" applyAlignment="1">
      <alignment horizontal="center" vertical="center" wrapText="1"/>
    </xf>
    <xf numFmtId="44" fontId="18" fillId="20" borderId="20" xfId="23" applyFont="1" applyFill="1" applyBorder="1" applyAlignment="1">
      <alignment horizontal="center" vertical="center" wrapText="1"/>
    </xf>
    <xf numFmtId="10" fontId="18" fillId="20" borderId="19" xfId="0" applyNumberFormat="1" applyFont="1" applyFill="1" applyBorder="1" applyAlignment="1">
      <alignment horizontal="center" vertical="center"/>
    </xf>
    <xf numFmtId="0" fontId="18" fillId="18" borderId="28" xfId="0" applyFont="1" applyFill="1" applyBorder="1" applyAlignment="1" applyProtection="1">
      <alignment horizontal="left" vertical="center" wrapText="1"/>
      <protection hidden="1"/>
    </xf>
    <xf numFmtId="0" fontId="19" fillId="18" borderId="21" xfId="0" applyFont="1" applyFill="1" applyBorder="1" applyAlignment="1" applyProtection="1">
      <alignment vertical="center"/>
      <protection hidden="1"/>
    </xf>
    <xf numFmtId="44" fontId="19" fillId="18" borderId="21" xfId="23" applyFont="1" applyFill="1" applyBorder="1" applyAlignment="1" applyProtection="1">
      <alignment vertical="center"/>
      <protection hidden="1"/>
    </xf>
    <xf numFmtId="0" fontId="19" fillId="18" borderId="22" xfId="0" applyFont="1" applyFill="1" applyBorder="1" applyAlignment="1" applyProtection="1">
      <alignment vertical="center"/>
      <protection hidden="1"/>
    </xf>
    <xf numFmtId="44" fontId="18" fillId="14" borderId="25" xfId="23" applyFont="1" applyFill="1" applyBorder="1" applyAlignment="1">
      <alignment horizontal="right" vertical="center"/>
    </xf>
    <xf numFmtId="10" fontId="18" fillId="14" borderId="25" xfId="0" applyNumberFormat="1" applyFont="1" applyFill="1" applyBorder="1" applyAlignment="1">
      <alignment horizontal="center" vertical="center"/>
    </xf>
    <xf numFmtId="0" fontId="19" fillId="18" borderId="19" xfId="0" applyFont="1" applyFill="1" applyBorder="1" applyAlignment="1" applyProtection="1">
      <alignment horizontal="center" vertical="center"/>
      <protection locked="0"/>
    </xf>
    <xf numFmtId="0" fontId="18" fillId="21" borderId="16" xfId="0" applyFont="1" applyFill="1" applyBorder="1" applyAlignment="1" applyProtection="1">
      <alignment horizontal="center" vertical="center"/>
      <protection locked="0"/>
    </xf>
    <xf numFmtId="44" fontId="18" fillId="16" borderId="18" xfId="23" applyFont="1" applyFill="1" applyBorder="1" applyAlignment="1">
      <alignment horizontal="center" vertical="center" wrapText="1"/>
    </xf>
    <xf numFmtId="44" fontId="18" fillId="14" borderId="30" xfId="23" applyFont="1" applyFill="1" applyBorder="1" applyAlignment="1">
      <alignment horizontal="right" vertical="center"/>
    </xf>
    <xf numFmtId="10" fontId="18" fillId="14" borderId="6" xfId="0" applyNumberFormat="1" applyFont="1" applyFill="1" applyBorder="1" applyAlignment="1">
      <alignment horizontal="center" vertical="center"/>
    </xf>
    <xf numFmtId="165" fontId="19" fillId="16" borderId="0" xfId="0" applyNumberFormat="1" applyFont="1" applyFill="1" applyAlignment="1">
      <alignment vertical="center"/>
    </xf>
    <xf numFmtId="0" fontId="18" fillId="18" borderId="32" xfId="0" applyFont="1" applyFill="1" applyBorder="1" applyAlignment="1" applyProtection="1">
      <alignment horizontal="center" vertical="center"/>
      <protection locked="0"/>
    </xf>
    <xf numFmtId="0" fontId="18" fillId="22" borderId="31" xfId="0" applyFont="1" applyFill="1" applyBorder="1" applyAlignment="1" applyProtection="1">
      <alignment horizontal="left" vertical="center" wrapText="1"/>
      <protection hidden="1"/>
    </xf>
    <xf numFmtId="0" fontId="18" fillId="18" borderId="23" xfId="0" applyFont="1" applyFill="1" applyBorder="1" applyAlignment="1" applyProtection="1">
      <alignment vertical="center"/>
      <protection hidden="1"/>
    </xf>
    <xf numFmtId="44" fontId="18" fillId="18" borderId="23" xfId="23" applyFont="1" applyFill="1" applyBorder="1" applyAlignment="1" applyProtection="1">
      <alignment vertical="center"/>
      <protection hidden="1"/>
    </xf>
    <xf numFmtId="0" fontId="18" fillId="18" borderId="24" xfId="0" applyFont="1" applyFill="1" applyBorder="1" applyAlignment="1" applyProtection="1">
      <alignment vertical="center"/>
      <protection hidden="1"/>
    </xf>
    <xf numFmtId="0" fontId="18" fillId="18" borderId="0" xfId="0" applyFont="1" applyFill="1" applyAlignment="1">
      <alignment vertical="center"/>
    </xf>
    <xf numFmtId="44" fontId="19" fillId="0" borderId="0" xfId="0" applyNumberFormat="1" applyFont="1" applyAlignment="1">
      <alignment vertical="center"/>
    </xf>
    <xf numFmtId="2" fontId="19" fillId="0" borderId="16" xfId="0" applyNumberFormat="1" applyFont="1" applyFill="1" applyBorder="1" applyAlignment="1">
      <alignment horizontal="center" vertical="center"/>
    </xf>
    <xf numFmtId="10" fontId="19" fillId="0" borderId="7" xfId="0" applyNumberFormat="1" applyFont="1" applyFill="1" applyBorder="1" applyAlignment="1">
      <alignment horizontal="center" vertical="center"/>
    </xf>
    <xf numFmtId="44" fontId="18" fillId="12" borderId="7" xfId="23" applyFont="1" applyFill="1" applyBorder="1" applyAlignment="1">
      <alignment horizontal="center" vertical="center"/>
    </xf>
    <xf numFmtId="10" fontId="18" fillId="12" borderId="7" xfId="0" applyNumberFormat="1" applyFont="1" applyFill="1" applyBorder="1" applyAlignment="1">
      <alignment horizontal="center" vertical="center"/>
    </xf>
    <xf numFmtId="0" fontId="19" fillId="18" borderId="18" xfId="0" applyFont="1" applyFill="1" applyBorder="1" applyAlignment="1">
      <alignment vertical="center"/>
    </xf>
    <xf numFmtId="0" fontId="18" fillId="18" borderId="19" xfId="0" applyFont="1" applyFill="1" applyBorder="1" applyAlignment="1" applyProtection="1">
      <alignment horizontal="left" vertical="center" wrapText="1"/>
      <protection hidden="1"/>
    </xf>
    <xf numFmtId="0" fontId="19" fillId="0" borderId="32" xfId="0" applyFont="1" applyFill="1" applyBorder="1" applyAlignment="1" applyProtection="1">
      <alignment horizontal="left" vertical="center" wrapText="1"/>
      <protection hidden="1"/>
    </xf>
    <xf numFmtId="0" fontId="19" fillId="0" borderId="32" xfId="0" applyFont="1" applyFill="1" applyBorder="1" applyAlignment="1" applyProtection="1">
      <alignment horizontal="center" vertical="center"/>
      <protection hidden="1"/>
    </xf>
    <xf numFmtId="4" fontId="19" fillId="0" borderId="30" xfId="0" applyNumberFormat="1" applyFont="1" applyFill="1" applyBorder="1" applyAlignment="1">
      <alignment horizontal="center" vertical="center" wrapText="1"/>
    </xf>
    <xf numFmtId="44" fontId="19" fillId="0" borderId="17" xfId="23" applyFont="1" applyFill="1" applyBorder="1" applyAlignment="1">
      <alignment horizontal="center" vertical="center" wrapText="1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8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10" fontId="19" fillId="0" borderId="26" xfId="0" applyNumberFormat="1" applyFont="1" applyFill="1" applyBorder="1" applyAlignment="1">
      <alignment horizontal="center" vertical="center"/>
    </xf>
    <xf numFmtId="10" fontId="19" fillId="0" borderId="27" xfId="0" applyNumberFormat="1" applyFont="1" applyFill="1" applyBorder="1" applyAlignment="1">
      <alignment horizontal="center" vertical="center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0" fontId="23" fillId="11" borderId="7" xfId="0" applyFont="1" applyFill="1" applyBorder="1" applyAlignment="1">
      <alignment horizontal="center" vertical="center"/>
    </xf>
    <xf numFmtId="44" fontId="19" fillId="0" borderId="18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168" fontId="19" fillId="0" borderId="0" xfId="0" applyNumberFormat="1" applyFont="1" applyFill="1" applyBorder="1" applyAlignment="1">
      <alignment vertical="center"/>
    </xf>
    <xf numFmtId="0" fontId="19" fillId="0" borderId="16" xfId="0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44" fontId="19" fillId="0" borderId="16" xfId="23" applyFont="1" applyFill="1" applyBorder="1" applyAlignment="1" applyProtection="1">
      <alignment horizontal="center" vertical="center" wrapText="1"/>
      <protection locked="0"/>
    </xf>
    <xf numFmtId="0" fontId="19" fillId="0" borderId="25" xfId="0" applyFont="1" applyFill="1" applyBorder="1" applyAlignment="1" applyProtection="1">
      <alignment horizontal="left" vertical="center" wrapText="1"/>
      <protection locked="0"/>
    </xf>
    <xf numFmtId="2" fontId="19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19" fillId="0" borderId="0" xfId="0" applyNumberFormat="1" applyFont="1" applyFill="1"/>
    <xf numFmtId="44" fontId="19" fillId="0" borderId="10" xfId="23" applyFont="1" applyFill="1" applyBorder="1" applyAlignment="1">
      <alignment horizontal="center" vertical="center" wrapText="1"/>
    </xf>
    <xf numFmtId="0" fontId="19" fillId="0" borderId="25" xfId="0" applyFont="1" applyFill="1" applyBorder="1" applyAlignment="1" applyProtection="1">
      <alignment horizontal="center" vertical="center" wrapText="1"/>
      <protection locked="0"/>
    </xf>
    <xf numFmtId="44" fontId="19" fillId="0" borderId="22" xfId="23" applyFont="1" applyFill="1" applyBorder="1" applyAlignment="1" applyProtection="1">
      <alignment horizontal="center" vertical="center" wrapText="1"/>
      <protection locked="0"/>
    </xf>
    <xf numFmtId="44" fontId="19" fillId="0" borderId="29" xfId="23" applyFont="1" applyFill="1" applyBorder="1" applyAlignment="1">
      <alignment horizontal="right" vertical="center" wrapText="1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left" vertical="center" wrapText="1"/>
      <protection hidden="1"/>
    </xf>
    <xf numFmtId="0" fontId="26" fillId="0" borderId="16" xfId="0" applyFont="1" applyFill="1" applyBorder="1" applyAlignment="1" applyProtection="1">
      <alignment horizontal="center" vertical="center"/>
      <protection hidden="1"/>
    </xf>
    <xf numFmtId="44" fontId="19" fillId="0" borderId="25" xfId="23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hidden="1"/>
    </xf>
    <xf numFmtId="0" fontId="19" fillId="0" borderId="33" xfId="0" applyFont="1" applyFill="1" applyBorder="1" applyAlignment="1" applyProtection="1">
      <alignment horizontal="center" vertical="center"/>
      <protection hidden="1"/>
    </xf>
    <xf numFmtId="44" fontId="19" fillId="0" borderId="4" xfId="23" applyFont="1" applyFill="1" applyBorder="1" applyAlignment="1">
      <alignment horizontal="center" vertical="center" wrapText="1"/>
    </xf>
    <xf numFmtId="0" fontId="19" fillId="0" borderId="29" xfId="0" applyFont="1" applyFill="1" applyBorder="1" applyAlignment="1" applyProtection="1">
      <alignment horizontal="left" vertical="center" wrapText="1"/>
      <protection locked="0"/>
    </xf>
    <xf numFmtId="0" fontId="19" fillId="0" borderId="29" xfId="0" applyFont="1" applyFill="1" applyBorder="1" applyAlignment="1" applyProtection="1">
      <alignment horizontal="center" vertical="center" wrapText="1"/>
      <protection locked="0"/>
    </xf>
    <xf numFmtId="44" fontId="19" fillId="0" borderId="29" xfId="23" applyFont="1" applyFill="1" applyBorder="1" applyAlignment="1" applyProtection="1">
      <alignment horizontal="center" vertical="center" wrapText="1"/>
      <protection locked="0"/>
    </xf>
    <xf numFmtId="44" fontId="19" fillId="0" borderId="31" xfId="23" applyFont="1" applyFill="1" applyBorder="1" applyAlignment="1">
      <alignment horizontal="center" vertical="center" wrapText="1"/>
    </xf>
    <xf numFmtId="44" fontId="19" fillId="0" borderId="16" xfId="23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vertical="center"/>
    </xf>
    <xf numFmtId="44" fontId="19" fillId="0" borderId="16" xfId="23" applyFont="1" applyFill="1" applyBorder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26" fillId="0" borderId="27" xfId="0" applyFont="1" applyFill="1" applyBorder="1" applyAlignment="1" applyProtection="1">
      <alignment horizontal="center" vertical="center"/>
      <protection locked="0"/>
    </xf>
    <xf numFmtId="0" fontId="26" fillId="0" borderId="27" xfId="0" applyFont="1" applyFill="1" applyBorder="1" applyAlignment="1" applyProtection="1">
      <alignment horizontal="left" vertical="center" wrapText="1"/>
      <protection hidden="1"/>
    </xf>
    <xf numFmtId="4" fontId="26" fillId="0" borderId="25" xfId="0" applyNumberFormat="1" applyFont="1" applyFill="1" applyBorder="1" applyAlignment="1">
      <alignment horizontal="center" vertical="center" wrapText="1"/>
    </xf>
    <xf numFmtId="4" fontId="26" fillId="0" borderId="27" xfId="0" applyNumberFormat="1" applyFont="1" applyFill="1" applyBorder="1" applyAlignment="1">
      <alignment horizontal="center" vertical="center" wrapText="1"/>
    </xf>
    <xf numFmtId="44" fontId="26" fillId="0" borderId="2" xfId="23" applyFont="1" applyFill="1" applyBorder="1" applyAlignment="1">
      <alignment horizontal="center" vertical="center" wrapText="1"/>
    </xf>
    <xf numFmtId="10" fontId="26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25" xfId="0" applyFont="1" applyFill="1" applyBorder="1" applyAlignment="1" applyProtection="1">
      <alignment horizontal="center" vertical="center"/>
      <protection locked="0"/>
    </xf>
    <xf numFmtId="0" fontId="26" fillId="0" borderId="25" xfId="0" applyFont="1" applyFill="1" applyBorder="1" applyAlignment="1" applyProtection="1">
      <alignment horizontal="left" vertical="center" wrapText="1"/>
      <protection hidden="1"/>
    </xf>
    <xf numFmtId="44" fontId="26" fillId="0" borderId="28" xfId="23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center" vertical="center"/>
      <protection hidden="1"/>
    </xf>
    <xf numFmtId="12" fontId="19" fillId="0" borderId="16" xfId="0" applyNumberFormat="1" applyFont="1" applyFill="1" applyBorder="1" applyAlignment="1">
      <alignment horizontal="left" vertical="center" wrapText="1"/>
    </xf>
    <xf numFmtId="12" fontId="26" fillId="0" borderId="16" xfId="0" applyNumberFormat="1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vertical="center"/>
    </xf>
    <xf numFmtId="0" fontId="26" fillId="0" borderId="29" xfId="0" applyFont="1" applyFill="1" applyBorder="1" applyAlignment="1" applyProtection="1">
      <alignment horizontal="center" vertical="center" wrapText="1"/>
      <protection hidden="1"/>
    </xf>
    <xf numFmtId="0" fontId="26" fillId="0" borderId="16" xfId="0" applyFont="1" applyFill="1" applyBorder="1" applyAlignment="1" applyProtection="1">
      <alignment horizontal="center" vertical="center" wrapText="1"/>
      <protection hidden="1"/>
    </xf>
    <xf numFmtId="0" fontId="26" fillId="0" borderId="16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vertical="center" wrapText="1"/>
    </xf>
    <xf numFmtId="4" fontId="26" fillId="0" borderId="29" xfId="0" applyNumberFormat="1" applyFont="1" applyFill="1" applyBorder="1" applyAlignment="1" applyProtection="1">
      <alignment horizontal="center" vertical="center" wrapText="1"/>
      <protection hidden="1"/>
    </xf>
    <xf numFmtId="4" fontId="26" fillId="0" borderId="16" xfId="0" applyNumberFormat="1" applyFont="1" applyFill="1" applyBorder="1" applyAlignment="1" applyProtection="1">
      <alignment horizontal="center" vertical="center" wrapText="1"/>
      <protection hidden="1"/>
    </xf>
    <xf numFmtId="165" fontId="19" fillId="0" borderId="0" xfId="0" applyNumberFormat="1" applyFont="1" applyFill="1" applyAlignment="1">
      <alignment vertical="center"/>
    </xf>
    <xf numFmtId="4" fontId="26" fillId="0" borderId="29" xfId="0" applyNumberFormat="1" applyFont="1" applyFill="1" applyBorder="1" applyAlignment="1">
      <alignment horizontal="center" vertical="center" wrapText="1"/>
    </xf>
    <xf numFmtId="4" fontId="19" fillId="0" borderId="29" xfId="0" applyNumberFormat="1" applyFont="1" applyFill="1" applyBorder="1" applyAlignment="1" applyProtection="1">
      <alignment horizontal="center" vertical="center" wrapText="1"/>
      <protection hidden="1"/>
    </xf>
    <xf numFmtId="4" fontId="19" fillId="0" borderId="25" xfId="0" applyNumberFormat="1" applyFont="1" applyFill="1" applyBorder="1" applyAlignment="1" applyProtection="1">
      <alignment horizontal="center" vertical="center" wrapText="1"/>
      <protection hidden="1"/>
    </xf>
    <xf numFmtId="2" fontId="19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6" xfId="0" applyNumberFormat="1" applyFont="1" applyFill="1" applyBorder="1" applyAlignment="1" applyProtection="1">
      <alignment horizontal="center" vertical="center" wrapText="1"/>
      <protection hidden="1"/>
    </xf>
    <xf numFmtId="165" fontId="25" fillId="11" borderId="7" xfId="17" applyNumberFormat="1" applyFont="1" applyFill="1" applyBorder="1" applyAlignment="1">
      <alignment horizontal="center" vertical="center"/>
    </xf>
    <xf numFmtId="10" fontId="25" fillId="11" borderId="7" xfId="0" applyNumberFormat="1" applyFont="1" applyFill="1" applyBorder="1" applyAlignment="1">
      <alignment horizontal="center" vertical="center"/>
    </xf>
    <xf numFmtId="0" fontId="25" fillId="11" borderId="12" xfId="0" applyFont="1" applyFill="1" applyBorder="1" applyAlignment="1">
      <alignment horizontal="center" vertical="center"/>
    </xf>
    <xf numFmtId="165" fontId="25" fillId="11" borderId="7" xfId="0" applyNumberFormat="1" applyFont="1" applyFill="1" applyBorder="1" applyAlignment="1">
      <alignment horizontal="center" vertical="center"/>
    </xf>
    <xf numFmtId="0" fontId="25" fillId="11" borderId="11" xfId="0" applyFont="1" applyFill="1" applyBorder="1" applyAlignment="1">
      <alignment horizontal="center" vertical="center"/>
    </xf>
    <xf numFmtId="9" fontId="19" fillId="0" borderId="0" xfId="24" applyFont="1" applyAlignment="1">
      <alignment vertical="center"/>
    </xf>
    <xf numFmtId="10" fontId="18" fillId="14" borderId="11" xfId="0" applyNumberFormat="1" applyFont="1" applyFill="1" applyBorder="1" applyAlignment="1">
      <alignment horizontal="center" vertical="center"/>
    </xf>
    <xf numFmtId="10" fontId="18" fillId="14" borderId="18" xfId="0" applyNumberFormat="1" applyFont="1" applyFill="1" applyBorder="1" applyAlignment="1">
      <alignment horizontal="center" vertical="center"/>
    </xf>
    <xf numFmtId="10" fontId="18" fillId="14" borderId="2" xfId="0" applyNumberFormat="1" applyFont="1" applyFill="1" applyBorder="1" applyAlignment="1">
      <alignment horizontal="center" vertical="center"/>
    </xf>
    <xf numFmtId="10" fontId="19" fillId="0" borderId="16" xfId="24" applyNumberFormat="1" applyFont="1" applyBorder="1" applyAlignment="1">
      <alignment vertical="center"/>
    </xf>
    <xf numFmtId="44" fontId="19" fillId="0" borderId="16" xfId="23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10" fontId="24" fillId="0" borderId="0" xfId="0" applyNumberFormat="1" applyFont="1"/>
    <xf numFmtId="44" fontId="19" fillId="0" borderId="16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8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/>
      <protection hidden="1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8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8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wrapText="1"/>
    </xf>
    <xf numFmtId="2" fontId="19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vertical="center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0" fontId="19" fillId="18" borderId="18" xfId="0" applyFont="1" applyFill="1" applyBorder="1" applyAlignment="1">
      <alignment horizontal="center" vertical="center"/>
    </xf>
    <xf numFmtId="0" fontId="19" fillId="18" borderId="20" xfId="0" applyFont="1" applyFill="1" applyBorder="1" applyAlignment="1">
      <alignment horizontal="center" vertical="center"/>
    </xf>
    <xf numFmtId="0" fontId="19" fillId="18" borderId="19" xfId="0" applyFont="1" applyFill="1" applyBorder="1" applyAlignment="1">
      <alignment horizontal="center" vertical="center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0" fontId="19" fillId="18" borderId="18" xfId="0" applyFont="1" applyFill="1" applyBorder="1" applyAlignment="1">
      <alignment horizontal="center" vertical="center"/>
    </xf>
    <xf numFmtId="0" fontId="19" fillId="18" borderId="20" xfId="0" applyFont="1" applyFill="1" applyBorder="1" applyAlignment="1">
      <alignment horizontal="center" vertical="center"/>
    </xf>
    <xf numFmtId="0" fontId="19" fillId="18" borderId="19" xfId="0" applyFont="1" applyFill="1" applyBorder="1" applyAlignment="1">
      <alignment horizontal="center" vertical="center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9" xfId="23" applyFont="1" applyFill="1" applyBorder="1" applyAlignment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8" fillId="18" borderId="26" xfId="0" applyFont="1" applyFill="1" applyBorder="1" applyAlignment="1" applyProtection="1">
      <alignment horizontal="left" vertical="center" wrapText="1"/>
      <protection hidden="1"/>
    </xf>
    <xf numFmtId="0" fontId="18" fillId="18" borderId="25" xfId="0" applyFont="1" applyFill="1" applyBorder="1" applyAlignment="1" applyProtection="1">
      <alignment horizontal="left" vertical="center" wrapText="1"/>
      <protection hidden="1"/>
    </xf>
    <xf numFmtId="0" fontId="19" fillId="18" borderId="28" xfId="0" applyFont="1" applyFill="1" applyBorder="1" applyAlignment="1">
      <alignment horizontal="center" vertical="center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10" fontId="19" fillId="0" borderId="0" xfId="24" applyNumberFormat="1" applyFont="1" applyBorder="1" applyAlignment="1">
      <alignment vertical="center"/>
    </xf>
    <xf numFmtId="0" fontId="18" fillId="13" borderId="29" xfId="0" applyFont="1" applyFill="1" applyBorder="1" applyAlignment="1" applyProtection="1">
      <alignment horizontal="center" vertical="center"/>
      <protection locked="0"/>
    </xf>
    <xf numFmtId="0" fontId="18" fillId="13" borderId="31" xfId="0" applyFont="1" applyFill="1" applyBorder="1" applyAlignment="1" applyProtection="1">
      <alignment horizontal="left" vertical="center" wrapText="1"/>
      <protection locked="0"/>
    </xf>
    <xf numFmtId="44" fontId="19" fillId="0" borderId="16" xfId="23" applyFont="1" applyFill="1" applyBorder="1" applyAlignment="1">
      <alignment horizontal="center" vertical="center" wrapText="1"/>
    </xf>
    <xf numFmtId="44" fontId="19" fillId="0" borderId="16" xfId="23" applyFont="1" applyFill="1" applyBorder="1" applyAlignment="1">
      <alignment horizontal="center" vertical="center" wrapText="1"/>
    </xf>
    <xf numFmtId="0" fontId="18" fillId="12" borderId="16" xfId="0" applyFont="1" applyFill="1" applyBorder="1" applyAlignment="1">
      <alignment horizontal="right" vertical="center"/>
    </xf>
    <xf numFmtId="0" fontId="19" fillId="13" borderId="20" xfId="0" applyFont="1" applyFill="1" applyBorder="1" applyAlignment="1">
      <alignment vertical="center"/>
    </xf>
    <xf numFmtId="0" fontId="19" fillId="13" borderId="19" xfId="0" applyFont="1" applyFill="1" applyBorder="1" applyAlignment="1">
      <alignment vertical="center"/>
    </xf>
    <xf numFmtId="0" fontId="19" fillId="18" borderId="12" xfId="0" applyFont="1" applyFill="1" applyBorder="1" applyAlignment="1">
      <alignment vertical="center"/>
    </xf>
    <xf numFmtId="0" fontId="19" fillId="18" borderId="7" xfId="0" applyFont="1" applyFill="1" applyBorder="1" applyAlignment="1">
      <alignment vertical="center"/>
    </xf>
    <xf numFmtId="0" fontId="19" fillId="13" borderId="13" xfId="0" applyFont="1" applyFill="1" applyBorder="1" applyAlignment="1">
      <alignment horizontal="center" vertical="center"/>
    </xf>
    <xf numFmtId="0" fontId="19" fillId="18" borderId="18" xfId="0" applyFont="1" applyFill="1" applyBorder="1" applyAlignment="1">
      <alignment horizontal="center" vertical="center"/>
    </xf>
    <xf numFmtId="0" fontId="19" fillId="18" borderId="20" xfId="0" applyFont="1" applyFill="1" applyBorder="1" applyAlignment="1">
      <alignment horizontal="center" vertical="center"/>
    </xf>
    <xf numFmtId="0" fontId="19" fillId="18" borderId="19" xfId="0" applyFont="1" applyFill="1" applyBorder="1" applyAlignment="1">
      <alignment horizontal="center" vertical="center"/>
    </xf>
    <xf numFmtId="0" fontId="18" fillId="12" borderId="29" xfId="0" applyFont="1" applyFill="1" applyBorder="1" applyAlignment="1">
      <alignment horizontal="right" vertical="center"/>
    </xf>
    <xf numFmtId="0" fontId="19" fillId="18" borderId="4" xfId="0" applyFont="1" applyFill="1" applyBorder="1" applyAlignment="1">
      <alignment vertical="center"/>
    </xf>
    <xf numFmtId="0" fontId="19" fillId="18" borderId="27" xfId="0" applyFont="1" applyFill="1" applyBorder="1" applyAlignment="1">
      <alignment vertical="center"/>
    </xf>
    <xf numFmtId="0" fontId="18" fillId="12" borderId="25" xfId="0" applyFont="1" applyFill="1" applyBorder="1" applyAlignment="1">
      <alignment horizontal="right" vertical="center"/>
    </xf>
    <xf numFmtId="0" fontId="19" fillId="13" borderId="3" xfId="0" applyFont="1" applyFill="1" applyBorder="1" applyAlignment="1">
      <alignment horizontal="center" vertical="center"/>
    </xf>
    <xf numFmtId="0" fontId="18" fillId="16" borderId="16" xfId="0" applyFont="1" applyFill="1" applyBorder="1" applyAlignment="1" applyProtection="1">
      <alignment horizontal="right" vertical="center"/>
      <protection locked="0"/>
    </xf>
    <xf numFmtId="49" fontId="19" fillId="0" borderId="16" xfId="0" applyNumberFormat="1" applyFont="1" applyFill="1" applyBorder="1" applyAlignment="1">
      <alignment horizontal="center" vertical="center" wrapText="1"/>
    </xf>
    <xf numFmtId="0" fontId="19" fillId="18" borderId="16" xfId="0" applyFont="1" applyFill="1" applyBorder="1" applyAlignment="1">
      <alignment vertical="center"/>
    </xf>
    <xf numFmtId="0" fontId="18" fillId="12" borderId="5" xfId="0" applyFont="1" applyFill="1" applyBorder="1" applyAlignment="1">
      <alignment horizontal="right" vertical="center"/>
    </xf>
    <xf numFmtId="0" fontId="18" fillId="12" borderId="0" xfId="0" applyFont="1" applyFill="1" applyBorder="1" applyAlignment="1">
      <alignment horizontal="right" vertical="center"/>
    </xf>
    <xf numFmtId="0" fontId="18" fillId="12" borderId="6" xfId="0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18" borderId="18" xfId="0" applyFont="1" applyFill="1" applyBorder="1" applyAlignment="1">
      <alignment horizontal="center" vertical="center"/>
    </xf>
    <xf numFmtId="0" fontId="18" fillId="18" borderId="19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10" fontId="19" fillId="0" borderId="16" xfId="0" applyNumberFormat="1" applyFont="1" applyFill="1" applyBorder="1" applyAlignment="1">
      <alignment horizontal="center" vertical="center"/>
    </xf>
    <xf numFmtId="44" fontId="19" fillId="0" borderId="16" xfId="23" applyFont="1" applyFill="1" applyBorder="1" applyAlignment="1">
      <alignment horizontal="center" vertical="center" wrapText="1"/>
    </xf>
    <xf numFmtId="0" fontId="18" fillId="12" borderId="7" xfId="0" applyFont="1" applyFill="1" applyBorder="1" applyAlignment="1">
      <alignment horizontal="right" vertical="center"/>
    </xf>
    <xf numFmtId="0" fontId="18" fillId="19" borderId="16" xfId="0" applyFont="1" applyFill="1" applyBorder="1" applyAlignment="1">
      <alignment horizontal="center" vertical="center"/>
    </xf>
    <xf numFmtId="0" fontId="19" fillId="13" borderId="9" xfId="0" applyFont="1" applyFill="1" applyBorder="1" applyAlignment="1">
      <alignment horizontal="center" vertical="center"/>
    </xf>
    <xf numFmtId="0" fontId="19" fillId="13" borderId="23" xfId="0" applyFont="1" applyFill="1" applyBorder="1" applyAlignment="1">
      <alignment vertical="center"/>
    </xf>
    <xf numFmtId="0" fontId="19" fillId="13" borderId="24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22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left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19" fillId="18" borderId="6" xfId="0" applyFont="1" applyFill="1" applyBorder="1" applyAlignment="1">
      <alignment vertical="center"/>
    </xf>
    <xf numFmtId="0" fontId="19" fillId="18" borderId="32" xfId="0" applyFont="1" applyFill="1" applyBorder="1" applyAlignment="1">
      <alignment vertical="center"/>
    </xf>
    <xf numFmtId="0" fontId="19" fillId="18" borderId="26" xfId="0" applyFont="1" applyFill="1" applyBorder="1" applyAlignment="1">
      <alignment vertical="center"/>
    </xf>
    <xf numFmtId="0" fontId="19" fillId="18" borderId="16" xfId="0" applyFont="1" applyFill="1" applyBorder="1" applyAlignment="1">
      <alignment horizontal="center" vertical="center"/>
    </xf>
    <xf numFmtId="0" fontId="19" fillId="18" borderId="10" xfId="0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16" borderId="16" xfId="0" applyFont="1" applyFill="1" applyBorder="1" applyAlignment="1">
      <alignment horizontal="center" vertical="center"/>
    </xf>
    <xf numFmtId="0" fontId="23" fillId="11" borderId="7" xfId="0" applyFont="1" applyFill="1" applyBorder="1" applyAlignment="1">
      <alignment horizontal="center" vertical="center"/>
    </xf>
    <xf numFmtId="1" fontId="25" fillId="11" borderId="7" xfId="17" applyNumberFormat="1" applyFont="1" applyFill="1" applyBorder="1" applyAlignment="1">
      <alignment horizontal="center" vertical="center"/>
    </xf>
    <xf numFmtId="2" fontId="25" fillId="11" borderId="7" xfId="17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9" fontId="24" fillId="0" borderId="1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3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7" fontId="24" fillId="0" borderId="16" xfId="0" applyNumberFormat="1" applyFont="1" applyBorder="1" applyAlignment="1">
      <alignment horizontal="center" vertical="center"/>
    </xf>
    <xf numFmtId="44" fontId="24" fillId="0" borderId="16" xfId="0" applyNumberFormat="1" applyFont="1" applyBorder="1" applyAlignment="1">
      <alignment horizontal="center" vertical="center"/>
    </xf>
    <xf numFmtId="0" fontId="21" fillId="11" borderId="7" xfId="0" applyFont="1" applyFill="1" applyBorder="1"/>
    <xf numFmtId="0" fontId="24" fillId="16" borderId="16" xfId="0" applyFont="1" applyFill="1" applyBorder="1" applyAlignment="1">
      <alignment horizontal="center" vertical="center"/>
    </xf>
    <xf numFmtId="10" fontId="19" fillId="0" borderId="0" xfId="0" applyNumberFormat="1" applyFont="1" applyFill="1" applyBorder="1" applyAlignment="1">
      <alignment horizontal="center" vertical="center"/>
    </xf>
    <xf numFmtId="44" fontId="19" fillId="0" borderId="0" xfId="23" applyFont="1" applyFill="1" applyBorder="1" applyAlignment="1">
      <alignment horizontal="right" vertical="center" wrapText="1"/>
    </xf>
  </cellXfs>
  <cellStyles count="25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Comma" xfId="7"/>
    <cellStyle name="Excel Built-in Currency" xfId="8"/>
    <cellStyle name="Excel Built-in Explanatory Text" xfId="9"/>
    <cellStyle name="Footnote" xfId="10"/>
    <cellStyle name="Good" xfId="11"/>
    <cellStyle name="Heading" xfId="12"/>
    <cellStyle name="Heading 1" xfId="13"/>
    <cellStyle name="Heading 2" xfId="14"/>
    <cellStyle name="Hyperlink" xfId="15"/>
    <cellStyle name="Moeda" xfId="23" builtinId="4"/>
    <cellStyle name="Neutral" xfId="16"/>
    <cellStyle name="Normal" xfId="0" builtinId="0" customBuiltin="1"/>
    <cellStyle name="Normal_Plan1" xfId="17"/>
    <cellStyle name="Note" xfId="18"/>
    <cellStyle name="Porcentagem" xfId="24" builtinId="5"/>
    <cellStyle name="Result" xfId="19"/>
    <cellStyle name="Status" xfId="20"/>
    <cellStyle name="Text" xfId="21"/>
    <cellStyle name="Warning" xfId="2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408246</xdr:colOff>
      <xdr:row>0</xdr:row>
      <xdr:rowOff>181932</xdr:rowOff>
    </xdr:from>
    <xdr:to>
      <xdr:col>2</xdr:col>
      <xdr:colOff>47624</xdr:colOff>
      <xdr:row>7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E295938-83A3-42BC-9BE9-197D89A49FE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8246" y="181932"/>
          <a:ext cx="1344353" cy="1227768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408247</xdr:colOff>
      <xdr:row>0</xdr:row>
      <xdr:rowOff>181932</xdr:rowOff>
    </xdr:from>
    <xdr:to>
      <xdr:col>1</xdr:col>
      <xdr:colOff>1130300</xdr:colOff>
      <xdr:row>7</xdr:row>
      <xdr:rowOff>52387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E2E949E-7458-4792-A6EF-005BD794E22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8247" y="181932"/>
          <a:ext cx="1131628" cy="102298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/Projetos%202023/Reforma%20Escolas/Reforma%20EM%20Adriano%20Queiroz%20Pimentel/Planilhas%20e%20Memoriais/01%20-%20Arquivos%20Finais/Or&#231;amento%20-%20Escola%20Adri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_Orçamentária"/>
      <sheetName val="Cronograma_F_F"/>
      <sheetName val="Composições"/>
      <sheetName val="Coleta de Orçamento"/>
      <sheetName val="BDI"/>
    </sheetNames>
    <sheetDataSet>
      <sheetData sheetId="0"/>
      <sheetData sheetId="1"/>
      <sheetData sheetId="2">
        <row r="60">
          <cell r="B60" t="str">
            <v>CORRIMÃO DUPLO, DIÂMETRO EXTERNO = 1 1/2, EM AÇO GALVANIZADO, INCLUSO PINTURA</v>
          </cell>
          <cell r="I60" t="str">
            <v>COMP05</v>
          </cell>
        </row>
        <row r="78">
          <cell r="B78" t="str">
            <v>ENTRADA DE ENERGIA ELÉTRICA, AÉREA, TRIFÁSICA, COM CAIXA DE EMBUTIR, CABO DE 16 MM2 E DISJUNTOR DIN 63A, INCLUSO O POSTE DE CONCRETO E ASSENTAMENTO. AF_07/2020_PS (POSTE PADRÃO T1 - ELEKTRO)</v>
          </cell>
          <cell r="I78" t="str">
            <v>COMP06</v>
          </cell>
        </row>
        <row r="107">
          <cell r="B107" t="str">
            <v>INSTALAÇÃO DE VENTILADOR</v>
          </cell>
          <cell r="I107" t="str">
            <v>COMP07</v>
          </cell>
        </row>
        <row r="114">
          <cell r="B114" t="str">
            <v>REQUADRO DE PORTAS E JANELAS</v>
          </cell>
          <cell r="I114" t="str">
            <v>COMP08</v>
          </cell>
        </row>
        <row r="124">
          <cell r="B124" t="str">
            <v>CARREGAMENTO MANUAL DE TELHAS CERÂMICAS COM PALLETS EM CAMINHÃO</v>
          </cell>
          <cell r="I124" t="str">
            <v>COMP09</v>
          </cell>
        </row>
        <row r="130">
          <cell r="B130" t="str">
            <v>DESCARREGAMENTO MANUAL DE TELHAS CERÂMICAS EM PALLETS DE CAMINHÃO E ARRUMAÇÃO EM LOCAL INDICADO</v>
          </cell>
          <cell r="I130" t="str">
            <v>COMP10</v>
          </cell>
        </row>
        <row r="136">
          <cell r="B136" t="str">
            <v>ESTACA BROCA DE CONCRETO, DIÂMETRO DE 25CM, ESCAVAÇÃO MANUAL COM TRADO CONCHA, INTEIRAMENTE ARMADA, INCLUSO CONCRETAGEM FCK 25 MPA. AF_05/2020</v>
          </cell>
          <cell r="I136" t="str">
            <v>COMP11</v>
          </cell>
        </row>
        <row r="146">
          <cell r="B146" t="str">
            <v>CONCRETAGEM DE BLOCOS DE COROAMENTO E VIGAS BALDRAME, FCK 25 MPA, INCLUSO LANÇAMENTO, ADENSAMENTO E ACABAMENTO. AF_06/2017</v>
          </cell>
          <cell r="I146" t="str">
            <v>COMP12</v>
          </cell>
        </row>
        <row r="156">
          <cell r="B156" t="str">
            <v>CARREGAMENTO MANUAL DE ESTRUTURA DE MADEIRA PROVENIENTES DE TELHADOS, EM CAMINHÃO</v>
          </cell>
          <cell r="I156" t="str">
            <v>COMP13</v>
          </cell>
        </row>
        <row r="162">
          <cell r="B162" t="str">
            <v>DESCARREGAMENTO MANUAL DE CAMINHÃO, DE ESTRUTURA DE MADEIRA PROVENIENTES DE TELHADOS E ARRUMAÇÃO EM LOCAL INDICADO</v>
          </cell>
          <cell r="I162" t="str">
            <v>COMP14</v>
          </cell>
        </row>
        <row r="168">
          <cell r="B168" t="str">
            <v>EXECUÇÃO DE CANALETA DE ESCOAMENTO DE ÁGUAS PLUVIAIS, COM PAREDES EM BLOCOS DE CONCRETO GRAUTEADOS, INCLUSO MASSA ÚNICA E CONCRETAGEM DE FUNDO</v>
          </cell>
          <cell r="I168" t="str">
            <v>COMP15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60"/>
  <sheetViews>
    <sheetView tabSelected="1" view="pageBreakPreview" topLeftCell="A1426" zoomScale="89" zoomScaleNormal="115" zoomScaleSheetLayoutView="89" workbookViewId="0">
      <selection activeCell="D1430" sqref="D1430"/>
    </sheetView>
  </sheetViews>
  <sheetFormatPr defaultRowHeight="13.5" outlineLevelRow="1"/>
  <cols>
    <col min="1" max="1" width="11.75" style="2" customWidth="1"/>
    <col min="2" max="2" width="10.625" style="2" customWidth="1"/>
    <col min="3" max="3" width="12.875" style="2" customWidth="1"/>
    <col min="4" max="4" width="84.875" style="2" customWidth="1"/>
    <col min="5" max="5" width="9.25" style="2" customWidth="1"/>
    <col min="6" max="6" width="13.625" style="13" customWidth="1"/>
    <col min="7" max="7" width="13" style="172" customWidth="1"/>
    <col min="8" max="8" width="11.75" style="172" bestFit="1" customWidth="1"/>
    <col min="9" max="9" width="16.75" style="186" customWidth="1"/>
    <col min="10" max="10" width="9.25" style="2" customWidth="1"/>
    <col min="11" max="11" width="13.75" style="2" bestFit="1" customWidth="1"/>
    <col min="12" max="12" width="12.125" style="2" bestFit="1" customWidth="1"/>
    <col min="13" max="62" width="8.125" style="2" customWidth="1"/>
    <col min="63" max="1024" width="9" style="2" customWidth="1"/>
    <col min="1025" max="16384" width="9" style="2"/>
  </cols>
  <sheetData>
    <row r="1" spans="1:10" s="6" customFormat="1" ht="18" customHeight="1" outlineLevel="1">
      <c r="A1" s="398" t="s">
        <v>172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 s="6" customFormat="1" outlineLevel="1">
      <c r="A2" s="399" t="s">
        <v>173</v>
      </c>
      <c r="B2" s="399"/>
      <c r="C2" s="399"/>
      <c r="D2" s="399"/>
      <c r="E2" s="399"/>
      <c r="F2" s="399"/>
      <c r="G2" s="399"/>
      <c r="H2" s="399"/>
      <c r="I2" s="399"/>
      <c r="J2" s="399"/>
    </row>
    <row r="3" spans="1:10" s="6" customFormat="1" outlineLevel="1">
      <c r="A3" s="399" t="s">
        <v>174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0" s="6" customFormat="1" outlineLevel="1">
      <c r="A4" s="399" t="s">
        <v>175</v>
      </c>
      <c r="B4" s="399"/>
      <c r="C4" s="399"/>
      <c r="D4" s="399"/>
      <c r="E4" s="399"/>
      <c r="F4" s="399"/>
      <c r="G4" s="399"/>
      <c r="H4" s="399"/>
      <c r="I4" s="399"/>
      <c r="J4" s="399"/>
    </row>
    <row r="5" spans="1:10" s="6" customFormat="1" outlineLevel="1">
      <c r="A5" s="399" t="s">
        <v>176</v>
      </c>
      <c r="B5" s="399"/>
      <c r="C5" s="399"/>
      <c r="D5" s="399"/>
      <c r="E5" s="399"/>
      <c r="F5" s="399"/>
      <c r="G5" s="399"/>
      <c r="H5" s="399"/>
      <c r="I5" s="399"/>
      <c r="J5" s="399"/>
    </row>
    <row r="6" spans="1:10" s="6" customFormat="1" outlineLevel="1">
      <c r="A6" s="399" t="s">
        <v>177</v>
      </c>
      <c r="B6" s="399"/>
      <c r="C6" s="399"/>
      <c r="D6" s="399"/>
      <c r="E6" s="399"/>
      <c r="F6" s="399"/>
      <c r="G6" s="399"/>
      <c r="H6" s="399"/>
      <c r="I6" s="399"/>
      <c r="J6" s="399"/>
    </row>
    <row r="7" spans="1:10" s="6" customFormat="1" outlineLevel="1">
      <c r="A7" s="7"/>
      <c r="B7" s="7"/>
      <c r="C7" s="7"/>
      <c r="D7" s="7"/>
      <c r="E7" s="7"/>
      <c r="F7" s="7"/>
      <c r="G7" s="170"/>
      <c r="H7" s="170"/>
      <c r="I7" s="170"/>
      <c r="J7" s="7"/>
    </row>
    <row r="8" spans="1:10" s="6" customFormat="1" outlineLevel="1">
      <c r="A8" s="398" t="s">
        <v>2037</v>
      </c>
      <c r="B8" s="398"/>
      <c r="C8" s="398"/>
      <c r="D8" s="398"/>
      <c r="E8" s="398"/>
      <c r="F8" s="398"/>
      <c r="G8" s="398"/>
      <c r="H8" s="398"/>
      <c r="I8" s="398"/>
      <c r="J8" s="398"/>
    </row>
    <row r="9" spans="1:10" s="6" customFormat="1" outlineLevel="1">
      <c r="A9" s="398"/>
      <c r="B9" s="398"/>
      <c r="C9" s="398"/>
      <c r="D9" s="398"/>
      <c r="E9" s="398"/>
      <c r="F9" s="398"/>
      <c r="G9" s="398"/>
      <c r="H9" s="398"/>
      <c r="I9" s="398"/>
      <c r="J9" s="398"/>
    </row>
    <row r="10" spans="1:10" outlineLevel="1">
      <c r="I10" s="171"/>
    </row>
    <row r="11" spans="1:10" outlineLevel="1">
      <c r="A11" s="400" t="s">
        <v>178</v>
      </c>
      <c r="B11" s="401"/>
      <c r="C11" s="402" t="s">
        <v>172</v>
      </c>
      <c r="D11" s="403"/>
      <c r="E11" s="403"/>
      <c r="F11" s="403"/>
      <c r="G11" s="404"/>
      <c r="H11" s="187" t="s">
        <v>182</v>
      </c>
      <c r="I11" s="393" t="s">
        <v>1955</v>
      </c>
      <c r="J11" s="393"/>
    </row>
    <row r="12" spans="1:10" outlineLevel="1">
      <c r="A12" s="400" t="s">
        <v>179</v>
      </c>
      <c r="B12" s="401"/>
      <c r="C12" s="402" t="s">
        <v>1956</v>
      </c>
      <c r="D12" s="403"/>
      <c r="E12" s="403"/>
      <c r="F12" s="403"/>
      <c r="G12" s="404"/>
      <c r="H12" s="187" t="s">
        <v>184</v>
      </c>
      <c r="I12" s="405">
        <v>0.23</v>
      </c>
      <c r="J12" s="405"/>
    </row>
    <row r="13" spans="1:10" outlineLevel="1">
      <c r="A13" s="400" t="s">
        <v>180</v>
      </c>
      <c r="B13" s="401"/>
      <c r="C13" s="402" t="s">
        <v>181</v>
      </c>
      <c r="D13" s="403"/>
      <c r="E13" s="403"/>
      <c r="F13" s="403"/>
      <c r="G13" s="404"/>
      <c r="H13" s="187" t="s">
        <v>183</v>
      </c>
      <c r="I13" s="406">
        <f>I1421</f>
        <v>0</v>
      </c>
      <c r="J13" s="406"/>
    </row>
    <row r="14" spans="1:10" outlineLevel="1">
      <c r="A14" s="42"/>
      <c r="B14" s="43"/>
      <c r="I14" s="172"/>
      <c r="J14" s="44"/>
    </row>
    <row r="15" spans="1:10" outlineLevel="1">
      <c r="A15" s="42"/>
      <c r="F15" s="45"/>
      <c r="I15" s="170"/>
      <c r="J15" s="44"/>
    </row>
    <row r="16" spans="1:10" outlineLevel="1">
      <c r="A16" s="51"/>
      <c r="I16" s="172"/>
      <c r="J16" s="44"/>
    </row>
    <row r="17" spans="1:10" outlineLevel="1">
      <c r="A17" s="42"/>
      <c r="B17" s="50"/>
      <c r="C17" s="50"/>
      <c r="D17" s="50"/>
      <c r="E17" s="50"/>
      <c r="F17" s="52"/>
      <c r="G17" s="171"/>
      <c r="H17" s="171"/>
      <c r="I17" s="171"/>
      <c r="J17" s="44"/>
    </row>
    <row r="18" spans="1:10" ht="25.5" outlineLevel="1">
      <c r="A18" s="47" t="s">
        <v>0</v>
      </c>
      <c r="B18" s="47" t="s">
        <v>2</v>
      </c>
      <c r="C18" s="47" t="s">
        <v>1</v>
      </c>
      <c r="D18" s="48" t="s">
        <v>3</v>
      </c>
      <c r="E18" s="48" t="s">
        <v>188</v>
      </c>
      <c r="F18" s="49" t="s">
        <v>187</v>
      </c>
      <c r="G18" s="173" t="s">
        <v>191</v>
      </c>
      <c r="H18" s="173" t="s">
        <v>193</v>
      </c>
      <c r="I18" s="173" t="s">
        <v>194</v>
      </c>
      <c r="J18" s="47" t="s">
        <v>192</v>
      </c>
    </row>
    <row r="19" spans="1:10" ht="12" customHeight="1">
      <c r="A19" s="53"/>
      <c r="B19" s="53"/>
      <c r="C19" s="53"/>
      <c r="D19" s="54"/>
      <c r="E19" s="55"/>
      <c r="F19" s="56"/>
      <c r="G19" s="174"/>
      <c r="H19" s="174"/>
      <c r="I19" s="174"/>
      <c r="J19" s="57"/>
    </row>
    <row r="20" spans="1:10" s="58" customFormat="1" ht="16.5" customHeight="1">
      <c r="A20" s="62" t="s">
        <v>5</v>
      </c>
      <c r="B20" s="383"/>
      <c r="C20" s="383"/>
      <c r="D20" s="76" t="s">
        <v>6</v>
      </c>
      <c r="E20" s="379"/>
      <c r="F20" s="379"/>
      <c r="G20" s="379"/>
      <c r="H20" s="379"/>
      <c r="I20" s="379"/>
      <c r="J20" s="380"/>
    </row>
    <row r="21" spans="1:10" s="100" customFormat="1" ht="15.95" customHeight="1" outlineLevel="1">
      <c r="A21" s="5" t="s">
        <v>1796</v>
      </c>
      <c r="B21" s="5" t="s">
        <v>1765</v>
      </c>
      <c r="C21" s="5" t="s">
        <v>7</v>
      </c>
      <c r="D21" s="106" t="s">
        <v>1764</v>
      </c>
      <c r="E21" s="64" t="s">
        <v>116</v>
      </c>
      <c r="F21" s="64">
        <v>6</v>
      </c>
      <c r="G21" s="116"/>
      <c r="H21" s="241">
        <f>TRUNC((G21*(1+$I$12)),2)</f>
        <v>0</v>
      </c>
      <c r="I21" s="242">
        <f>ROUND((F21*H21),2)</f>
        <v>0</v>
      </c>
      <c r="J21" s="74" t="e">
        <f>(I21/$I$1421)</f>
        <v>#DIV/0!</v>
      </c>
    </row>
    <row r="22" spans="1:10" ht="15.95" customHeight="1">
      <c r="A22" s="387" t="s">
        <v>1302</v>
      </c>
      <c r="B22" s="387"/>
      <c r="C22" s="387"/>
      <c r="D22" s="387"/>
      <c r="E22" s="387"/>
      <c r="F22" s="387"/>
      <c r="G22" s="387"/>
      <c r="H22" s="387"/>
      <c r="I22" s="175">
        <f>I21</f>
        <v>0</v>
      </c>
      <c r="J22" s="144" t="e">
        <f>J21</f>
        <v>#DIV/0!</v>
      </c>
    </row>
    <row r="23" spans="1:10" ht="16.5" customHeight="1">
      <c r="A23" s="62" t="s">
        <v>8</v>
      </c>
      <c r="B23" s="383"/>
      <c r="C23" s="383"/>
      <c r="D23" s="76" t="s">
        <v>140</v>
      </c>
      <c r="E23" s="379"/>
      <c r="F23" s="379"/>
      <c r="G23" s="379"/>
      <c r="H23" s="379"/>
      <c r="I23" s="379"/>
      <c r="J23" s="380"/>
    </row>
    <row r="24" spans="1:10" ht="15.95" customHeight="1">
      <c r="A24" s="61" t="s">
        <v>377</v>
      </c>
      <c r="B24" s="381"/>
      <c r="C24" s="381"/>
      <c r="D24" s="107" t="s">
        <v>155</v>
      </c>
      <c r="E24" s="382"/>
      <c r="F24" s="382"/>
      <c r="G24" s="382"/>
      <c r="H24" s="382"/>
      <c r="I24" s="382"/>
      <c r="J24" s="382"/>
    </row>
    <row r="25" spans="1:10" s="100" customFormat="1" ht="15.95" customHeight="1" outlineLevel="1">
      <c r="A25" s="108" t="s">
        <v>404</v>
      </c>
      <c r="B25" s="5">
        <v>97644</v>
      </c>
      <c r="C25" s="5" t="s">
        <v>18</v>
      </c>
      <c r="D25" s="106" t="s">
        <v>463</v>
      </c>
      <c r="E25" s="109" t="s">
        <v>116</v>
      </c>
      <c r="F25" s="64">
        <v>3.78</v>
      </c>
      <c r="G25" s="116"/>
      <c r="H25" s="241">
        <f>TRUNC((G25*(1+$I$12)),2)</f>
        <v>0</v>
      </c>
      <c r="I25" s="117">
        <f>ROUND((F25*H25),2)</f>
        <v>0</v>
      </c>
      <c r="J25" s="231" t="e">
        <f t="shared" ref="J25:J60" si="0">(I25/$I$1421)</f>
        <v>#DIV/0!</v>
      </c>
    </row>
    <row r="26" spans="1:10" s="100" customFormat="1" ht="15.95" customHeight="1" outlineLevel="1">
      <c r="A26" s="108" t="s">
        <v>405</v>
      </c>
      <c r="B26" s="5" t="s">
        <v>379</v>
      </c>
      <c r="C26" s="5" t="s">
        <v>7</v>
      </c>
      <c r="D26" s="106" t="s">
        <v>378</v>
      </c>
      <c r="E26" s="109" t="s">
        <v>116</v>
      </c>
      <c r="F26" s="64">
        <v>9.52</v>
      </c>
      <c r="G26" s="116"/>
      <c r="H26" s="241">
        <f>TRUNC((G26*(1+$I$12)),2)</f>
        <v>0</v>
      </c>
      <c r="I26" s="117">
        <f t="shared" ref="I26:I60" si="1">ROUND((F26*H26),2)</f>
        <v>0</v>
      </c>
      <c r="J26" s="231" t="e">
        <f t="shared" si="0"/>
        <v>#DIV/0!</v>
      </c>
    </row>
    <row r="27" spans="1:10" s="100" customFormat="1" ht="15.95" customHeight="1" outlineLevel="1">
      <c r="A27" s="108" t="s">
        <v>406</v>
      </c>
      <c r="B27" s="5" t="s">
        <v>20</v>
      </c>
      <c r="C27" s="5" t="s">
        <v>9</v>
      </c>
      <c r="D27" s="106" t="s">
        <v>119</v>
      </c>
      <c r="E27" s="109" t="s">
        <v>116</v>
      </c>
      <c r="F27" s="64">
        <v>1.2</v>
      </c>
      <c r="G27" s="116" t="s">
        <v>10</v>
      </c>
      <c r="H27" s="117"/>
      <c r="I27" s="117">
        <f t="shared" si="1"/>
        <v>0</v>
      </c>
      <c r="J27" s="231" t="e">
        <f t="shared" si="0"/>
        <v>#DIV/0!</v>
      </c>
    </row>
    <row r="28" spans="1:10" s="100" customFormat="1" ht="27" outlineLevel="1">
      <c r="A28" s="108" t="s">
        <v>407</v>
      </c>
      <c r="B28" s="5">
        <v>97640</v>
      </c>
      <c r="C28" s="5" t="s">
        <v>18</v>
      </c>
      <c r="D28" s="106" t="s">
        <v>1797</v>
      </c>
      <c r="E28" s="109" t="s">
        <v>116</v>
      </c>
      <c r="F28" s="64">
        <v>35.96</v>
      </c>
      <c r="G28" s="116"/>
      <c r="H28" s="241">
        <f>TRUNC((G28*(1+$I$12)),2)</f>
        <v>0</v>
      </c>
      <c r="I28" s="117">
        <f t="shared" si="1"/>
        <v>0</v>
      </c>
      <c r="J28" s="231" t="e">
        <f t="shared" si="0"/>
        <v>#DIV/0!</v>
      </c>
    </row>
    <row r="29" spans="1:10" s="100" customFormat="1" ht="15.95" customHeight="1" outlineLevel="1">
      <c r="A29" s="108" t="s">
        <v>408</v>
      </c>
      <c r="B29" s="101" t="s">
        <v>380</v>
      </c>
      <c r="C29" s="101" t="s">
        <v>9</v>
      </c>
      <c r="D29" s="102" t="s">
        <v>122</v>
      </c>
      <c r="E29" s="118" t="s">
        <v>221</v>
      </c>
      <c r="F29" s="80">
        <v>1</v>
      </c>
      <c r="G29" s="119" t="s">
        <v>10</v>
      </c>
      <c r="H29" s="120"/>
      <c r="I29" s="117">
        <f t="shared" si="1"/>
        <v>0</v>
      </c>
      <c r="J29" s="231" t="e">
        <f t="shared" si="0"/>
        <v>#DIV/0!</v>
      </c>
    </row>
    <row r="30" spans="1:10" s="100" customFormat="1" ht="15.95" customHeight="1" outlineLevel="1">
      <c r="A30" s="108" t="s">
        <v>409</v>
      </c>
      <c r="B30" s="63" t="s">
        <v>135</v>
      </c>
      <c r="C30" s="63" t="s">
        <v>7</v>
      </c>
      <c r="D30" s="65" t="s">
        <v>383</v>
      </c>
      <c r="E30" s="66" t="s">
        <v>115</v>
      </c>
      <c r="F30" s="64">
        <v>1.8</v>
      </c>
      <c r="G30" s="325"/>
      <c r="H30" s="325">
        <f>TRUNC((G30*(1+$I$12)),2)</f>
        <v>0</v>
      </c>
      <c r="I30" s="117">
        <f t="shared" si="1"/>
        <v>0</v>
      </c>
      <c r="J30" s="231" t="e">
        <f t="shared" si="0"/>
        <v>#DIV/0!</v>
      </c>
    </row>
    <row r="31" spans="1:10" s="100" customFormat="1" ht="15.95" customHeight="1" outlineLevel="1">
      <c r="A31" s="108" t="s">
        <v>410</v>
      </c>
      <c r="B31" s="63" t="s">
        <v>403</v>
      </c>
      <c r="C31" s="63" t="s">
        <v>7</v>
      </c>
      <c r="D31" s="65" t="s">
        <v>402</v>
      </c>
      <c r="E31" s="66" t="s">
        <v>116</v>
      </c>
      <c r="F31" s="64">
        <f>1*1.2</f>
        <v>1.2</v>
      </c>
      <c r="G31" s="325"/>
      <c r="H31" s="325">
        <f>TRUNC((G31*(1+$I$12)),2)</f>
        <v>0</v>
      </c>
      <c r="I31" s="117">
        <f t="shared" si="1"/>
        <v>0</v>
      </c>
      <c r="J31" s="231" t="e">
        <f t="shared" si="0"/>
        <v>#DIV/0!</v>
      </c>
    </row>
    <row r="32" spans="1:10" s="100" customFormat="1" ht="27" outlineLevel="1">
      <c r="A32" s="108" t="s">
        <v>411</v>
      </c>
      <c r="B32" s="63">
        <v>97660</v>
      </c>
      <c r="C32" s="63" t="s">
        <v>18</v>
      </c>
      <c r="D32" s="65" t="s">
        <v>1798</v>
      </c>
      <c r="E32" s="66" t="s">
        <v>221</v>
      </c>
      <c r="F32" s="64">
        <f>2+8+1+1+1+2+1+1</f>
        <v>17</v>
      </c>
      <c r="G32" s="325"/>
      <c r="H32" s="325">
        <f>TRUNC((G32*(1+$I$12)),2)</f>
        <v>0</v>
      </c>
      <c r="I32" s="117">
        <f t="shared" si="1"/>
        <v>0</v>
      </c>
      <c r="J32" s="231" t="e">
        <f t="shared" si="0"/>
        <v>#DIV/0!</v>
      </c>
    </row>
    <row r="33" spans="1:11" s="100" customFormat="1" ht="15.75" customHeight="1" outlineLevel="1">
      <c r="A33" s="108" t="s">
        <v>412</v>
      </c>
      <c r="B33" s="63">
        <v>97665</v>
      </c>
      <c r="C33" s="63" t="s">
        <v>18</v>
      </c>
      <c r="D33" s="65" t="s">
        <v>1799</v>
      </c>
      <c r="E33" s="66" t="s">
        <v>221</v>
      </c>
      <c r="F33" s="64">
        <v>4</v>
      </c>
      <c r="G33" s="325"/>
      <c r="H33" s="325">
        <f>TRUNC((G33*(1+$I$12)),2)</f>
        <v>0</v>
      </c>
      <c r="I33" s="117">
        <f t="shared" si="1"/>
        <v>0</v>
      </c>
      <c r="J33" s="231" t="e">
        <f t="shared" si="0"/>
        <v>#DIV/0!</v>
      </c>
    </row>
    <row r="34" spans="1:11" s="100" customFormat="1" ht="15.75" customHeight="1" outlineLevel="1">
      <c r="A34" s="108" t="s">
        <v>413</v>
      </c>
      <c r="B34" s="63" t="s">
        <v>385</v>
      </c>
      <c r="C34" s="63" t="s">
        <v>9</v>
      </c>
      <c r="D34" s="65" t="s">
        <v>384</v>
      </c>
      <c r="E34" s="66" t="s">
        <v>116</v>
      </c>
      <c r="F34" s="64">
        <v>0.36</v>
      </c>
      <c r="G34" s="325" t="s">
        <v>10</v>
      </c>
      <c r="H34" s="325"/>
      <c r="I34" s="117">
        <f t="shared" si="1"/>
        <v>0</v>
      </c>
      <c r="J34" s="231" t="e">
        <f t="shared" si="0"/>
        <v>#DIV/0!</v>
      </c>
    </row>
    <row r="35" spans="1:11" s="100" customFormat="1" ht="15.95" customHeight="1" outlineLevel="1">
      <c r="A35" s="108" t="s">
        <v>414</v>
      </c>
      <c r="B35" s="63" t="s">
        <v>126</v>
      </c>
      <c r="C35" s="63" t="s">
        <v>9</v>
      </c>
      <c r="D35" s="65" t="s">
        <v>386</v>
      </c>
      <c r="E35" s="66" t="s">
        <v>115</v>
      </c>
      <c r="F35" s="64">
        <v>32.200000000000003</v>
      </c>
      <c r="G35" s="325" t="s">
        <v>10</v>
      </c>
      <c r="H35" s="121"/>
      <c r="I35" s="117">
        <f t="shared" si="1"/>
        <v>0</v>
      </c>
      <c r="J35" s="231" t="e">
        <f t="shared" si="0"/>
        <v>#DIV/0!</v>
      </c>
    </row>
    <row r="36" spans="1:11" s="100" customFormat="1" ht="15.95" customHeight="1" outlineLevel="1">
      <c r="A36" s="108" t="s">
        <v>415</v>
      </c>
      <c r="B36" s="63" t="s">
        <v>120</v>
      </c>
      <c r="C36" s="63" t="s">
        <v>7</v>
      </c>
      <c r="D36" s="65" t="s">
        <v>121</v>
      </c>
      <c r="E36" s="66" t="s">
        <v>116</v>
      </c>
      <c r="F36" s="64">
        <v>36.25</v>
      </c>
      <c r="G36" s="325"/>
      <c r="H36" s="325">
        <f t="shared" ref="H36:H55" si="2">TRUNC((G36*(1+$I$12)),2)</f>
        <v>0</v>
      </c>
      <c r="I36" s="117">
        <f t="shared" si="1"/>
        <v>0</v>
      </c>
      <c r="J36" s="231" t="e">
        <f t="shared" si="0"/>
        <v>#DIV/0!</v>
      </c>
    </row>
    <row r="37" spans="1:11" s="100" customFormat="1" ht="40.5" outlineLevel="1">
      <c r="A37" s="108" t="s">
        <v>416</v>
      </c>
      <c r="B37" s="63">
        <v>100983</v>
      </c>
      <c r="C37" s="63" t="s">
        <v>18</v>
      </c>
      <c r="D37" s="65" t="s">
        <v>1896</v>
      </c>
      <c r="E37" s="86" t="s">
        <v>218</v>
      </c>
      <c r="F37" s="80">
        <f>(0.2+0.08+0.48+0.12+1.08+0.25+0.01+0.03+0.72+0.03+0.04+0.02+0.97+3.63)*1.3</f>
        <v>9.9580000000000002</v>
      </c>
      <c r="G37" s="124"/>
      <c r="H37" s="350">
        <f t="shared" ref="H37" si="3">TRUNC((G37*(1+$I$12)),2)</f>
        <v>0</v>
      </c>
      <c r="I37" s="117">
        <f t="shared" si="1"/>
        <v>0</v>
      </c>
      <c r="J37" s="231" t="e">
        <f t="shared" si="0"/>
        <v>#DIV/0!</v>
      </c>
    </row>
    <row r="38" spans="1:11" s="100" customFormat="1" ht="27" outlineLevel="1">
      <c r="A38" s="108" t="s">
        <v>417</v>
      </c>
      <c r="B38" s="63">
        <v>95875</v>
      </c>
      <c r="C38" s="63" t="s">
        <v>18</v>
      </c>
      <c r="D38" s="65" t="s">
        <v>1898</v>
      </c>
      <c r="E38" s="86" t="s">
        <v>1897</v>
      </c>
      <c r="F38" s="80">
        <f>F37*4</f>
        <v>39.832000000000001</v>
      </c>
      <c r="G38" s="124"/>
      <c r="H38" s="350">
        <f t="shared" ref="H38" si="4">TRUNC((G38*(1+$I$12)),2)</f>
        <v>0</v>
      </c>
      <c r="I38" s="117">
        <f t="shared" si="1"/>
        <v>0</v>
      </c>
      <c r="J38" s="231" t="e">
        <f t="shared" si="0"/>
        <v>#DIV/0!</v>
      </c>
    </row>
    <row r="39" spans="1:11" s="100" customFormat="1" ht="27" outlineLevel="1">
      <c r="A39" s="108" t="s">
        <v>418</v>
      </c>
      <c r="B39" s="63">
        <v>96359</v>
      </c>
      <c r="C39" s="63" t="s">
        <v>18</v>
      </c>
      <c r="D39" s="65" t="s">
        <v>389</v>
      </c>
      <c r="E39" s="66" t="s">
        <v>116</v>
      </c>
      <c r="F39" s="64">
        <v>9.52</v>
      </c>
      <c r="G39" s="325"/>
      <c r="H39" s="325">
        <f t="shared" si="2"/>
        <v>0</v>
      </c>
      <c r="I39" s="117">
        <f t="shared" si="1"/>
        <v>0</v>
      </c>
      <c r="J39" s="231" t="e">
        <f t="shared" si="0"/>
        <v>#DIV/0!</v>
      </c>
    </row>
    <row r="40" spans="1:11" s="157" customFormat="1" ht="27" outlineLevel="1">
      <c r="A40" s="108" t="s">
        <v>419</v>
      </c>
      <c r="B40" s="63">
        <v>97084</v>
      </c>
      <c r="C40" s="63" t="s">
        <v>18</v>
      </c>
      <c r="D40" s="65" t="s">
        <v>791</v>
      </c>
      <c r="E40" s="68" t="s">
        <v>116</v>
      </c>
      <c r="F40" s="64">
        <v>36.25</v>
      </c>
      <c r="G40" s="350"/>
      <c r="H40" s="350">
        <f t="shared" si="2"/>
        <v>0</v>
      </c>
      <c r="I40" s="117">
        <f t="shared" si="1"/>
        <v>0</v>
      </c>
      <c r="J40" s="231" t="e">
        <f t="shared" si="0"/>
        <v>#DIV/0!</v>
      </c>
    </row>
    <row r="41" spans="1:11" s="100" customFormat="1" ht="27" outlineLevel="1">
      <c r="A41" s="108" t="s">
        <v>420</v>
      </c>
      <c r="B41" s="128">
        <v>96622</v>
      </c>
      <c r="C41" s="128" t="s">
        <v>18</v>
      </c>
      <c r="D41" s="82" t="s">
        <v>1895</v>
      </c>
      <c r="E41" s="88" t="s">
        <v>218</v>
      </c>
      <c r="F41" s="75">
        <f>F40*0.05</f>
        <v>1.8125</v>
      </c>
      <c r="G41" s="145"/>
      <c r="H41" s="350">
        <f>TRUNC((G41*(1+$I$12)),2)</f>
        <v>0</v>
      </c>
      <c r="I41" s="117">
        <f t="shared" si="1"/>
        <v>0</v>
      </c>
      <c r="J41" s="231" t="e">
        <f t="shared" si="0"/>
        <v>#DIV/0!</v>
      </c>
    </row>
    <row r="42" spans="1:11" s="100" customFormat="1" ht="27" outlineLevel="1">
      <c r="A42" s="108" t="s">
        <v>421</v>
      </c>
      <c r="B42" s="128">
        <v>95241</v>
      </c>
      <c r="C42" s="128" t="s">
        <v>18</v>
      </c>
      <c r="D42" s="82" t="s">
        <v>1894</v>
      </c>
      <c r="E42" s="88" t="s">
        <v>116</v>
      </c>
      <c r="F42" s="75">
        <f>F40</f>
        <v>36.25</v>
      </c>
      <c r="G42" s="145"/>
      <c r="H42" s="350">
        <f>TRUNC((G42*(1+$I$12)),2)</f>
        <v>0</v>
      </c>
      <c r="I42" s="117">
        <f t="shared" si="1"/>
        <v>0</v>
      </c>
      <c r="J42" s="231" t="e">
        <f t="shared" si="0"/>
        <v>#DIV/0!</v>
      </c>
    </row>
    <row r="43" spans="1:11" s="100" customFormat="1" ht="40.5" outlineLevel="1">
      <c r="A43" s="108" t="s">
        <v>422</v>
      </c>
      <c r="B43" s="63">
        <v>104162</v>
      </c>
      <c r="C43" s="63" t="s">
        <v>18</v>
      </c>
      <c r="D43" s="65" t="s">
        <v>387</v>
      </c>
      <c r="E43" s="66" t="s">
        <v>116</v>
      </c>
      <c r="F43" s="64">
        <v>36.25</v>
      </c>
      <c r="G43" s="325"/>
      <c r="H43" s="325">
        <f t="shared" si="2"/>
        <v>0</v>
      </c>
      <c r="I43" s="117">
        <f t="shared" si="1"/>
        <v>0</v>
      </c>
      <c r="J43" s="231" t="e">
        <f t="shared" si="0"/>
        <v>#DIV/0!</v>
      </c>
      <c r="K43" s="100">
        <f>((2*2.1*0.15)+(0.9*0.15))</f>
        <v>0.76500000000000001</v>
      </c>
    </row>
    <row r="44" spans="1:11" s="100" customFormat="1" ht="15.95" customHeight="1" outlineLevel="1">
      <c r="A44" s="108" t="s">
        <v>423</v>
      </c>
      <c r="B44" s="63">
        <v>101741</v>
      </c>
      <c r="C44" s="63" t="s">
        <v>18</v>
      </c>
      <c r="D44" s="65" t="s">
        <v>388</v>
      </c>
      <c r="E44" s="66" t="s">
        <v>115</v>
      </c>
      <c r="F44" s="64">
        <v>32.200000000000003</v>
      </c>
      <c r="G44" s="325"/>
      <c r="H44" s="325">
        <f t="shared" si="2"/>
        <v>0</v>
      </c>
      <c r="I44" s="117">
        <f t="shared" si="1"/>
        <v>0</v>
      </c>
      <c r="J44" s="231" t="e">
        <f t="shared" si="0"/>
        <v>#DIV/0!</v>
      </c>
      <c r="K44" s="100">
        <f>(((13.75*2.76))-((0.9*2.1)+(3.4*1.5)))</f>
        <v>30.959999999999994</v>
      </c>
    </row>
    <row r="45" spans="1:11" s="100" customFormat="1" outlineLevel="1">
      <c r="A45" s="108" t="s">
        <v>424</v>
      </c>
      <c r="B45" s="63">
        <v>96114</v>
      </c>
      <c r="C45" s="63" t="s">
        <v>18</v>
      </c>
      <c r="D45" s="65" t="s">
        <v>390</v>
      </c>
      <c r="E45" s="66" t="s">
        <v>116</v>
      </c>
      <c r="F45" s="64">
        <v>35.96</v>
      </c>
      <c r="G45" s="325"/>
      <c r="H45" s="325">
        <f t="shared" si="2"/>
        <v>0</v>
      </c>
      <c r="I45" s="117">
        <f t="shared" si="1"/>
        <v>0</v>
      </c>
      <c r="J45" s="231" t="e">
        <f t="shared" si="0"/>
        <v>#DIV/0!</v>
      </c>
    </row>
    <row r="46" spans="1:11" s="100" customFormat="1" outlineLevel="1">
      <c r="A46" s="108" t="s">
        <v>425</v>
      </c>
      <c r="B46" s="63" t="s">
        <v>10</v>
      </c>
      <c r="C46" s="63" t="str">
        <f>[1]Composições!$I$114</f>
        <v>COMP08</v>
      </c>
      <c r="D46" s="65" t="str">
        <f>[1]Composições!$B$114</f>
        <v>REQUADRO DE PORTAS E JANELAS</v>
      </c>
      <c r="E46" s="66" t="s">
        <v>116</v>
      </c>
      <c r="F46" s="64">
        <f>(((2*2.1*0.15)+(0.8*0.15))+((2*2.1*0.15)+(0.9*0.15)))</f>
        <v>1.5150000000000001</v>
      </c>
      <c r="G46" s="325"/>
      <c r="H46" s="325">
        <f t="shared" si="2"/>
        <v>0</v>
      </c>
      <c r="I46" s="117">
        <f t="shared" si="1"/>
        <v>0</v>
      </c>
      <c r="J46" s="231" t="e">
        <f t="shared" si="0"/>
        <v>#DIV/0!</v>
      </c>
    </row>
    <row r="47" spans="1:11" s="100" customFormat="1" ht="40.5" outlineLevel="1">
      <c r="A47" s="108" t="s">
        <v>426</v>
      </c>
      <c r="B47" s="63">
        <v>90843</v>
      </c>
      <c r="C47" s="63" t="s">
        <v>18</v>
      </c>
      <c r="D47" s="65" t="s">
        <v>391</v>
      </c>
      <c r="E47" s="66" t="s">
        <v>221</v>
      </c>
      <c r="F47" s="64">
        <v>2</v>
      </c>
      <c r="G47" s="241"/>
      <c r="H47" s="241">
        <f t="shared" si="2"/>
        <v>0</v>
      </c>
      <c r="I47" s="117">
        <f t="shared" si="1"/>
        <v>0</v>
      </c>
      <c r="J47" s="231" t="e">
        <f t="shared" si="0"/>
        <v>#DIV/0!</v>
      </c>
    </row>
    <row r="48" spans="1:11" s="100" customFormat="1" ht="40.5" outlineLevel="1">
      <c r="A48" s="108" t="s">
        <v>427</v>
      </c>
      <c r="B48" s="63">
        <v>90844</v>
      </c>
      <c r="C48" s="63" t="s">
        <v>18</v>
      </c>
      <c r="D48" s="65" t="s">
        <v>392</v>
      </c>
      <c r="E48" s="66" t="s">
        <v>221</v>
      </c>
      <c r="F48" s="64">
        <v>1</v>
      </c>
      <c r="G48" s="241"/>
      <c r="H48" s="241">
        <f t="shared" si="2"/>
        <v>0</v>
      </c>
      <c r="I48" s="117">
        <f t="shared" si="1"/>
        <v>0</v>
      </c>
      <c r="J48" s="231" t="e">
        <f t="shared" si="0"/>
        <v>#DIV/0!</v>
      </c>
    </row>
    <row r="49" spans="1:11" s="100" customFormat="1" ht="27" outlineLevel="1">
      <c r="A49" s="108" t="s">
        <v>428</v>
      </c>
      <c r="B49" s="5">
        <v>100674</v>
      </c>
      <c r="C49" s="5" t="s">
        <v>18</v>
      </c>
      <c r="D49" s="106" t="s">
        <v>124</v>
      </c>
      <c r="E49" s="66" t="s">
        <v>116</v>
      </c>
      <c r="F49" s="64">
        <v>1.2</v>
      </c>
      <c r="G49" s="116"/>
      <c r="H49" s="241">
        <f t="shared" si="2"/>
        <v>0</v>
      </c>
      <c r="I49" s="117">
        <f t="shared" si="1"/>
        <v>0</v>
      </c>
      <c r="J49" s="231" t="e">
        <f t="shared" si="0"/>
        <v>#DIV/0!</v>
      </c>
    </row>
    <row r="50" spans="1:11" s="157" customFormat="1" ht="27" outlineLevel="1">
      <c r="A50" s="108" t="s">
        <v>429</v>
      </c>
      <c r="B50" s="5">
        <v>102162</v>
      </c>
      <c r="C50" s="5" t="s">
        <v>18</v>
      </c>
      <c r="D50" s="106" t="s">
        <v>2018</v>
      </c>
      <c r="E50" s="66" t="s">
        <v>116</v>
      </c>
      <c r="F50" s="64">
        <f>F49</f>
        <v>1.2</v>
      </c>
      <c r="G50" s="365"/>
      <c r="H50" s="117">
        <f t="shared" si="2"/>
        <v>0</v>
      </c>
      <c r="I50" s="117">
        <f t="shared" si="1"/>
        <v>0</v>
      </c>
      <c r="J50" s="364" t="e">
        <f t="shared" si="0"/>
        <v>#DIV/0!</v>
      </c>
    </row>
    <row r="51" spans="1:11" s="100" customFormat="1" ht="15.95" customHeight="1" outlineLevel="1">
      <c r="A51" s="108" t="s">
        <v>430</v>
      </c>
      <c r="B51" s="5">
        <v>88495</v>
      </c>
      <c r="C51" s="5" t="s">
        <v>18</v>
      </c>
      <c r="D51" s="106" t="s">
        <v>393</v>
      </c>
      <c r="E51" s="66" t="s">
        <v>116</v>
      </c>
      <c r="F51" s="64">
        <v>97.23</v>
      </c>
      <c r="G51" s="116"/>
      <c r="H51" s="117">
        <f t="shared" si="2"/>
        <v>0</v>
      </c>
      <c r="I51" s="117">
        <f t="shared" si="1"/>
        <v>0</v>
      </c>
      <c r="J51" s="231" t="e">
        <f t="shared" si="0"/>
        <v>#DIV/0!</v>
      </c>
    </row>
    <row r="52" spans="1:11" s="100" customFormat="1" ht="15.95" customHeight="1" outlineLevel="1">
      <c r="A52" s="108" t="s">
        <v>431</v>
      </c>
      <c r="B52" s="5">
        <v>88489</v>
      </c>
      <c r="C52" s="5" t="s">
        <v>18</v>
      </c>
      <c r="D52" s="106" t="s">
        <v>36</v>
      </c>
      <c r="E52" s="66" t="s">
        <v>116</v>
      </c>
      <c r="F52" s="64">
        <f>F51</f>
        <v>97.23</v>
      </c>
      <c r="G52" s="116"/>
      <c r="H52" s="117">
        <f t="shared" si="2"/>
        <v>0</v>
      </c>
      <c r="I52" s="117">
        <f t="shared" si="1"/>
        <v>0</v>
      </c>
      <c r="J52" s="231" t="e">
        <f t="shared" si="0"/>
        <v>#DIV/0!</v>
      </c>
    </row>
    <row r="53" spans="1:11" s="100" customFormat="1" outlineLevel="1">
      <c r="A53" s="108" t="s">
        <v>432</v>
      </c>
      <c r="B53" s="5" t="s">
        <v>167</v>
      </c>
      <c r="C53" s="5" t="s">
        <v>7</v>
      </c>
      <c r="D53" s="106" t="s">
        <v>396</v>
      </c>
      <c r="E53" s="66" t="s">
        <v>116</v>
      </c>
      <c r="F53" s="64">
        <v>17.690000000000001</v>
      </c>
      <c r="G53" s="116"/>
      <c r="H53" s="117">
        <f t="shared" si="2"/>
        <v>0</v>
      </c>
      <c r="I53" s="117">
        <f t="shared" si="1"/>
        <v>0</v>
      </c>
      <c r="J53" s="231" t="e">
        <f t="shared" si="0"/>
        <v>#DIV/0!</v>
      </c>
    </row>
    <row r="54" spans="1:11" s="100" customFormat="1" outlineLevel="1">
      <c r="A54" s="108" t="s">
        <v>433</v>
      </c>
      <c r="B54" s="5" t="s">
        <v>394</v>
      </c>
      <c r="C54" s="63" t="s">
        <v>7</v>
      </c>
      <c r="D54" s="122" t="s">
        <v>395</v>
      </c>
      <c r="E54" s="66" t="s">
        <v>116</v>
      </c>
      <c r="F54" s="64">
        <v>17.36</v>
      </c>
      <c r="G54" s="116"/>
      <c r="H54" s="117">
        <f t="shared" si="2"/>
        <v>0</v>
      </c>
      <c r="I54" s="117">
        <f t="shared" si="1"/>
        <v>0</v>
      </c>
      <c r="J54" s="231" t="e">
        <f t="shared" si="0"/>
        <v>#DIV/0!</v>
      </c>
    </row>
    <row r="55" spans="1:11" s="100" customFormat="1" ht="27" outlineLevel="1">
      <c r="A55" s="108" t="s">
        <v>434</v>
      </c>
      <c r="B55" s="5">
        <v>102219</v>
      </c>
      <c r="C55" s="5" t="s">
        <v>18</v>
      </c>
      <c r="D55" s="122" t="s">
        <v>397</v>
      </c>
      <c r="E55" s="66" t="s">
        <v>116</v>
      </c>
      <c r="F55" s="64">
        <f>(((2*0.8*2.1)+(0.9*2.1))*3)</f>
        <v>15.75</v>
      </c>
      <c r="G55" s="116"/>
      <c r="H55" s="117">
        <f t="shared" si="2"/>
        <v>0</v>
      </c>
      <c r="I55" s="117">
        <f t="shared" si="1"/>
        <v>0</v>
      </c>
      <c r="J55" s="231" t="e">
        <f t="shared" si="0"/>
        <v>#DIV/0!</v>
      </c>
    </row>
    <row r="56" spans="1:11" s="100" customFormat="1" outlineLevel="1">
      <c r="A56" s="108" t="s">
        <v>1859</v>
      </c>
      <c r="B56" s="5" t="s">
        <v>11</v>
      </c>
      <c r="C56" s="5" t="s">
        <v>9</v>
      </c>
      <c r="D56" s="122" t="s">
        <v>398</v>
      </c>
      <c r="E56" s="66" t="s">
        <v>116</v>
      </c>
      <c r="F56" s="64">
        <v>11.9</v>
      </c>
      <c r="G56" s="241" t="s">
        <v>10</v>
      </c>
      <c r="H56" s="121"/>
      <c r="I56" s="117">
        <f t="shared" si="1"/>
        <v>0</v>
      </c>
      <c r="J56" s="231" t="e">
        <f t="shared" si="0"/>
        <v>#DIV/0!</v>
      </c>
    </row>
    <row r="57" spans="1:11" s="100" customFormat="1" ht="15.95" customHeight="1" outlineLevel="1">
      <c r="A57" s="108" t="s">
        <v>1860</v>
      </c>
      <c r="B57" s="5" t="s">
        <v>123</v>
      </c>
      <c r="C57" s="63" t="s">
        <v>7</v>
      </c>
      <c r="D57" s="106" t="s">
        <v>399</v>
      </c>
      <c r="E57" s="123" t="s">
        <v>221</v>
      </c>
      <c r="F57" s="64">
        <v>1</v>
      </c>
      <c r="G57" s="116"/>
      <c r="H57" s="117">
        <f>TRUNC((G57*(1+$I$12)),2)</f>
        <v>0</v>
      </c>
      <c r="I57" s="117">
        <f t="shared" si="1"/>
        <v>0</v>
      </c>
      <c r="J57" s="231" t="e">
        <f t="shared" si="0"/>
        <v>#DIV/0!</v>
      </c>
    </row>
    <row r="58" spans="1:11" s="100" customFormat="1" ht="27" outlineLevel="1">
      <c r="A58" s="108" t="s">
        <v>1861</v>
      </c>
      <c r="B58" s="5">
        <v>1749</v>
      </c>
      <c r="C58" s="63" t="s">
        <v>18</v>
      </c>
      <c r="D58" s="106" t="s">
        <v>462</v>
      </c>
      <c r="E58" s="123" t="s">
        <v>221</v>
      </c>
      <c r="F58" s="64">
        <v>1</v>
      </c>
      <c r="G58" s="116"/>
      <c r="H58" s="117">
        <f>TRUNC((G58*(1+$I$12)),2)</f>
        <v>0</v>
      </c>
      <c r="I58" s="117">
        <f t="shared" si="1"/>
        <v>0</v>
      </c>
      <c r="J58" s="231" t="e">
        <f t="shared" si="0"/>
        <v>#DIV/0!</v>
      </c>
    </row>
    <row r="59" spans="1:11" s="100" customFormat="1" ht="27" outlineLevel="1">
      <c r="A59" s="108" t="s">
        <v>1900</v>
      </c>
      <c r="B59" s="5" t="s">
        <v>401</v>
      </c>
      <c r="C59" s="63" t="s">
        <v>7</v>
      </c>
      <c r="D59" s="106" t="s">
        <v>400</v>
      </c>
      <c r="E59" s="123" t="s">
        <v>221</v>
      </c>
      <c r="F59" s="64">
        <v>1</v>
      </c>
      <c r="G59" s="116"/>
      <c r="H59" s="117">
        <f>TRUNC((G59*(1+$I$12)),2)</f>
        <v>0</v>
      </c>
      <c r="I59" s="117">
        <f t="shared" si="1"/>
        <v>0</v>
      </c>
      <c r="J59" s="231" t="e">
        <f t="shared" si="0"/>
        <v>#DIV/0!</v>
      </c>
    </row>
    <row r="60" spans="1:11" s="100" customFormat="1" ht="15.95" customHeight="1" outlineLevel="1">
      <c r="A60" s="108" t="s">
        <v>2020</v>
      </c>
      <c r="B60" s="5" t="s">
        <v>10</v>
      </c>
      <c r="C60" s="5" t="str">
        <f>[1]Composições!$I$107</f>
        <v>COMP07</v>
      </c>
      <c r="D60" s="106" t="str">
        <f>[1]Composições!$B$107</f>
        <v>INSTALAÇÃO DE VENTILADOR</v>
      </c>
      <c r="E60" s="331" t="s">
        <v>221</v>
      </c>
      <c r="F60" s="64">
        <v>1</v>
      </c>
      <c r="G60" s="116"/>
      <c r="H60" s="325">
        <f>TRUNC((G60*(1+$I$12)),2)</f>
        <v>0</v>
      </c>
      <c r="I60" s="117">
        <f t="shared" si="1"/>
        <v>0</v>
      </c>
      <c r="J60" s="231" t="e">
        <f t="shared" si="0"/>
        <v>#DIV/0!</v>
      </c>
    </row>
    <row r="61" spans="1:11" ht="15.95" customHeight="1">
      <c r="A61" s="395" t="s">
        <v>436</v>
      </c>
      <c r="B61" s="396"/>
      <c r="C61" s="396"/>
      <c r="D61" s="396"/>
      <c r="E61" s="396"/>
      <c r="F61" s="396"/>
      <c r="G61" s="396"/>
      <c r="H61" s="397"/>
      <c r="I61" s="176">
        <f>SUM(I25:I60)</f>
        <v>0</v>
      </c>
      <c r="J61" s="315" t="e">
        <f>SUM(J25:J60)</f>
        <v>#DIV/0!</v>
      </c>
      <c r="K61" s="318" t="e">
        <f>I61/$I$432</f>
        <v>#DIV/0!</v>
      </c>
    </row>
    <row r="62" spans="1:11" ht="15.95" customHeight="1">
      <c r="A62" s="61" t="s">
        <v>435</v>
      </c>
      <c r="B62" s="381"/>
      <c r="C62" s="381"/>
      <c r="D62" s="107" t="s">
        <v>144</v>
      </c>
      <c r="E62" s="382"/>
      <c r="F62" s="382"/>
      <c r="G62" s="382"/>
      <c r="H62" s="382"/>
      <c r="I62" s="382"/>
      <c r="J62" s="382"/>
    </row>
    <row r="63" spans="1:11" s="100" customFormat="1" ht="15.95" customHeight="1" outlineLevel="1">
      <c r="A63" s="108" t="s">
        <v>445</v>
      </c>
      <c r="B63" s="5">
        <v>97644</v>
      </c>
      <c r="C63" s="5" t="s">
        <v>18</v>
      </c>
      <c r="D63" s="106" t="s">
        <v>463</v>
      </c>
      <c r="E63" s="109" t="s">
        <v>116</v>
      </c>
      <c r="F63" s="64">
        <f>2.1*0.9</f>
        <v>1.8900000000000001</v>
      </c>
      <c r="G63" s="116"/>
      <c r="H63" s="241">
        <f>TRUNC((G63*(1+$I$12)),2)</f>
        <v>0</v>
      </c>
      <c r="I63" s="117">
        <f>ROUND((F63*H63),2)</f>
        <v>0</v>
      </c>
      <c r="J63" s="231" t="e">
        <f t="shared" ref="J63:J83" si="5">(I63/$I$1421)</f>
        <v>#DIV/0!</v>
      </c>
    </row>
    <row r="64" spans="1:11" s="100" customFormat="1" ht="27" outlineLevel="1">
      <c r="A64" s="108" t="s">
        <v>446</v>
      </c>
      <c r="B64" s="5">
        <v>97640</v>
      </c>
      <c r="C64" s="5" t="s">
        <v>18</v>
      </c>
      <c r="D64" s="106" t="s">
        <v>1797</v>
      </c>
      <c r="E64" s="109" t="s">
        <v>116</v>
      </c>
      <c r="F64" s="64">
        <v>11.82</v>
      </c>
      <c r="G64" s="116"/>
      <c r="H64" s="241">
        <f>TRUNC((G64*(1+$I$12)),2)</f>
        <v>0</v>
      </c>
      <c r="I64" s="117">
        <f t="shared" ref="I64" si="6">ROUND((F64*H64),2)</f>
        <v>0</v>
      </c>
      <c r="J64" s="231" t="e">
        <f t="shared" si="5"/>
        <v>#DIV/0!</v>
      </c>
    </row>
    <row r="65" spans="1:10" s="100" customFormat="1" ht="27" outlineLevel="1">
      <c r="A65" s="108" t="s">
        <v>447</v>
      </c>
      <c r="B65" s="63">
        <v>97660</v>
      </c>
      <c r="C65" s="63" t="s">
        <v>18</v>
      </c>
      <c r="D65" s="65" t="s">
        <v>1798</v>
      </c>
      <c r="E65" s="66" t="s">
        <v>221</v>
      </c>
      <c r="F65" s="64">
        <v>8</v>
      </c>
      <c r="G65" s="333"/>
      <c r="H65" s="333">
        <f>TRUNC((G65*(1+$I$12)),2)</f>
        <v>0</v>
      </c>
      <c r="I65" s="117">
        <f t="shared" ref="I65:I82" si="7">ROUND((F65*H65),2)</f>
        <v>0</v>
      </c>
      <c r="J65" s="231" t="e">
        <f t="shared" si="5"/>
        <v>#DIV/0!</v>
      </c>
    </row>
    <row r="66" spans="1:10" s="100" customFormat="1" ht="15.75" customHeight="1" outlineLevel="1">
      <c r="A66" s="108" t="s">
        <v>448</v>
      </c>
      <c r="B66" s="63">
        <v>97665</v>
      </c>
      <c r="C66" s="63" t="s">
        <v>18</v>
      </c>
      <c r="D66" s="65" t="s">
        <v>1799</v>
      </c>
      <c r="E66" s="66" t="s">
        <v>221</v>
      </c>
      <c r="F66" s="64">
        <v>1</v>
      </c>
      <c r="G66" s="333"/>
      <c r="H66" s="333">
        <f>TRUNC((G66*(1+$I$12)),2)</f>
        <v>0</v>
      </c>
      <c r="I66" s="117">
        <f t="shared" si="7"/>
        <v>0</v>
      </c>
      <c r="J66" s="231" t="e">
        <f t="shared" si="5"/>
        <v>#DIV/0!</v>
      </c>
    </row>
    <row r="67" spans="1:10" s="100" customFormat="1" ht="15.95" customHeight="1" outlineLevel="1">
      <c r="A67" s="108" t="s">
        <v>449</v>
      </c>
      <c r="B67" s="63" t="s">
        <v>126</v>
      </c>
      <c r="C67" s="63" t="s">
        <v>9</v>
      </c>
      <c r="D67" s="65" t="s">
        <v>386</v>
      </c>
      <c r="E67" s="66" t="s">
        <v>115</v>
      </c>
      <c r="F67" s="64">
        <v>13.05</v>
      </c>
      <c r="G67" s="333" t="s">
        <v>10</v>
      </c>
      <c r="H67" s="121"/>
      <c r="I67" s="117">
        <f t="shared" si="7"/>
        <v>0</v>
      </c>
      <c r="J67" s="231" t="e">
        <f t="shared" si="5"/>
        <v>#DIV/0!</v>
      </c>
    </row>
    <row r="68" spans="1:10" s="100" customFormat="1" ht="15.95" customHeight="1" outlineLevel="1">
      <c r="A68" s="108" t="s">
        <v>450</v>
      </c>
      <c r="B68" s="63" t="s">
        <v>120</v>
      </c>
      <c r="C68" s="63" t="s">
        <v>7</v>
      </c>
      <c r="D68" s="65" t="s">
        <v>121</v>
      </c>
      <c r="E68" s="66" t="s">
        <v>116</v>
      </c>
      <c r="F68" s="64">
        <v>11.97</v>
      </c>
      <c r="G68" s="333"/>
      <c r="H68" s="333">
        <f t="shared" ref="H68:H81" si="8">TRUNC((G68*(1+$I$12)),2)</f>
        <v>0</v>
      </c>
      <c r="I68" s="117">
        <f t="shared" si="7"/>
        <v>0</v>
      </c>
      <c r="J68" s="231" t="e">
        <f t="shared" si="5"/>
        <v>#DIV/0!</v>
      </c>
    </row>
    <row r="69" spans="1:10" s="100" customFormat="1" ht="33" customHeight="1" outlineLevel="1">
      <c r="A69" s="108" t="s">
        <v>451</v>
      </c>
      <c r="B69" s="63">
        <v>100983</v>
      </c>
      <c r="C69" s="63" t="s">
        <v>18</v>
      </c>
      <c r="D69" s="65" t="s">
        <v>1896</v>
      </c>
      <c r="E69" s="86" t="s">
        <v>218</v>
      </c>
      <c r="F69" s="80">
        <f>(0.1+0.04+0.48+0.12+0.36+0.25+0.02+0.04+1.2)*1.3</f>
        <v>3.3930000000000007</v>
      </c>
      <c r="G69" s="124"/>
      <c r="H69" s="350">
        <f t="shared" si="8"/>
        <v>0</v>
      </c>
      <c r="I69" s="117">
        <f t="shared" si="7"/>
        <v>0</v>
      </c>
      <c r="J69" s="231" t="e">
        <f t="shared" si="5"/>
        <v>#DIV/0!</v>
      </c>
    </row>
    <row r="70" spans="1:10" s="100" customFormat="1" ht="27" outlineLevel="1">
      <c r="A70" s="108" t="s">
        <v>452</v>
      </c>
      <c r="B70" s="63">
        <v>95875</v>
      </c>
      <c r="C70" s="63" t="s">
        <v>18</v>
      </c>
      <c r="D70" s="65" t="s">
        <v>1898</v>
      </c>
      <c r="E70" s="86" t="s">
        <v>1897</v>
      </c>
      <c r="F70" s="80">
        <f>F69*4</f>
        <v>13.572000000000003</v>
      </c>
      <c r="G70" s="124"/>
      <c r="H70" s="350">
        <f t="shared" si="8"/>
        <v>0</v>
      </c>
      <c r="I70" s="117">
        <f t="shared" si="7"/>
        <v>0</v>
      </c>
      <c r="J70" s="231" t="e">
        <f t="shared" si="5"/>
        <v>#DIV/0!</v>
      </c>
    </row>
    <row r="71" spans="1:10" s="157" customFormat="1" ht="27" outlineLevel="1">
      <c r="A71" s="108" t="s">
        <v>453</v>
      </c>
      <c r="B71" s="63">
        <v>97084</v>
      </c>
      <c r="C71" s="63" t="s">
        <v>18</v>
      </c>
      <c r="D71" s="65" t="s">
        <v>791</v>
      </c>
      <c r="E71" s="68" t="s">
        <v>116</v>
      </c>
      <c r="F71" s="64">
        <v>11.97</v>
      </c>
      <c r="G71" s="350"/>
      <c r="H71" s="347">
        <f t="shared" si="8"/>
        <v>0</v>
      </c>
      <c r="I71" s="116">
        <f t="shared" si="7"/>
        <v>0</v>
      </c>
      <c r="J71" s="231" t="e">
        <f t="shared" si="5"/>
        <v>#DIV/0!</v>
      </c>
    </row>
    <row r="72" spans="1:10" s="100" customFormat="1" ht="27" outlineLevel="1">
      <c r="A72" s="108" t="s">
        <v>454</v>
      </c>
      <c r="B72" s="128">
        <v>96622</v>
      </c>
      <c r="C72" s="128" t="s">
        <v>18</v>
      </c>
      <c r="D72" s="82" t="s">
        <v>1895</v>
      </c>
      <c r="E72" s="88" t="s">
        <v>218</v>
      </c>
      <c r="F72" s="75">
        <f>F71*0.05</f>
        <v>0.59850000000000003</v>
      </c>
      <c r="G72" s="145"/>
      <c r="H72" s="347">
        <f>TRUNC((G72*(1+$I$12)),2)</f>
        <v>0</v>
      </c>
      <c r="I72" s="116">
        <f t="shared" si="7"/>
        <v>0</v>
      </c>
      <c r="J72" s="231" t="e">
        <f t="shared" si="5"/>
        <v>#DIV/0!</v>
      </c>
    </row>
    <row r="73" spans="1:10" s="100" customFormat="1" ht="27" outlineLevel="1">
      <c r="A73" s="108" t="s">
        <v>455</v>
      </c>
      <c r="B73" s="128">
        <v>95241</v>
      </c>
      <c r="C73" s="128" t="s">
        <v>18</v>
      </c>
      <c r="D73" s="82" t="s">
        <v>1894</v>
      </c>
      <c r="E73" s="88" t="s">
        <v>116</v>
      </c>
      <c r="F73" s="75">
        <f>F71</f>
        <v>11.97</v>
      </c>
      <c r="G73" s="145"/>
      <c r="H73" s="347">
        <f>TRUNC((G73*(1+$I$12)),2)</f>
        <v>0</v>
      </c>
      <c r="I73" s="116">
        <f t="shared" si="7"/>
        <v>0</v>
      </c>
      <c r="J73" s="231" t="e">
        <f t="shared" si="5"/>
        <v>#DIV/0!</v>
      </c>
    </row>
    <row r="74" spans="1:10" s="100" customFormat="1" ht="40.5" outlineLevel="1">
      <c r="A74" s="108" t="s">
        <v>456</v>
      </c>
      <c r="B74" s="63">
        <v>104162</v>
      </c>
      <c r="C74" s="63" t="s">
        <v>18</v>
      </c>
      <c r="D74" s="65" t="s">
        <v>387</v>
      </c>
      <c r="E74" s="66" t="s">
        <v>116</v>
      </c>
      <c r="F74" s="64">
        <v>11.97</v>
      </c>
      <c r="G74" s="333"/>
      <c r="H74" s="333">
        <f t="shared" si="8"/>
        <v>0</v>
      </c>
      <c r="I74" s="117">
        <f t="shared" si="7"/>
        <v>0</v>
      </c>
      <c r="J74" s="231" t="e">
        <f t="shared" si="5"/>
        <v>#DIV/0!</v>
      </c>
    </row>
    <row r="75" spans="1:10" s="100" customFormat="1" ht="15.95" customHeight="1" outlineLevel="1">
      <c r="A75" s="108" t="s">
        <v>457</v>
      </c>
      <c r="B75" s="63">
        <v>101741</v>
      </c>
      <c r="C75" s="63" t="s">
        <v>18</v>
      </c>
      <c r="D75" s="65" t="s">
        <v>388</v>
      </c>
      <c r="E75" s="66" t="s">
        <v>115</v>
      </c>
      <c r="F75" s="64">
        <v>13.05</v>
      </c>
      <c r="G75" s="333"/>
      <c r="H75" s="333">
        <f t="shared" si="8"/>
        <v>0</v>
      </c>
      <c r="I75" s="117">
        <f t="shared" si="7"/>
        <v>0</v>
      </c>
      <c r="J75" s="231" t="e">
        <f t="shared" si="5"/>
        <v>#DIV/0!</v>
      </c>
    </row>
    <row r="76" spans="1:10" s="100" customFormat="1" outlineLevel="1">
      <c r="A76" s="108" t="s">
        <v>458</v>
      </c>
      <c r="B76" s="63">
        <v>96114</v>
      </c>
      <c r="C76" s="63" t="s">
        <v>18</v>
      </c>
      <c r="D76" s="65" t="s">
        <v>390</v>
      </c>
      <c r="E76" s="66" t="s">
        <v>116</v>
      </c>
      <c r="F76" s="64">
        <v>11.82</v>
      </c>
      <c r="G76" s="333"/>
      <c r="H76" s="333">
        <f t="shared" si="8"/>
        <v>0</v>
      </c>
      <c r="I76" s="117">
        <f t="shared" si="7"/>
        <v>0</v>
      </c>
      <c r="J76" s="231" t="e">
        <f t="shared" si="5"/>
        <v>#DIV/0!</v>
      </c>
    </row>
    <row r="77" spans="1:10" s="100" customFormat="1" outlineLevel="1">
      <c r="A77" s="108" t="s">
        <v>459</v>
      </c>
      <c r="B77" s="63" t="s">
        <v>10</v>
      </c>
      <c r="C77" s="63" t="str">
        <f>[1]Composições!I114</f>
        <v>COMP08</v>
      </c>
      <c r="D77" s="65" t="str">
        <f>[1]Composições!B114</f>
        <v>REQUADRO DE PORTAS E JANELAS</v>
      </c>
      <c r="E77" s="66" t="s">
        <v>116</v>
      </c>
      <c r="F77" s="64">
        <f>((2*2.1*0.15)+(0.9*0.15))</f>
        <v>0.76500000000000001</v>
      </c>
      <c r="G77" s="333"/>
      <c r="H77" s="333">
        <f t="shared" si="8"/>
        <v>0</v>
      </c>
      <c r="I77" s="117">
        <f t="shared" si="7"/>
        <v>0</v>
      </c>
      <c r="J77" s="231" t="e">
        <f t="shared" si="5"/>
        <v>#DIV/0!</v>
      </c>
    </row>
    <row r="78" spans="1:10" s="100" customFormat="1" ht="40.5" outlineLevel="1">
      <c r="A78" s="108" t="s">
        <v>460</v>
      </c>
      <c r="B78" s="63">
        <v>90844</v>
      </c>
      <c r="C78" s="63" t="s">
        <v>18</v>
      </c>
      <c r="D78" s="65" t="s">
        <v>392</v>
      </c>
      <c r="E78" s="66" t="s">
        <v>221</v>
      </c>
      <c r="F78" s="64">
        <v>1</v>
      </c>
      <c r="G78" s="241"/>
      <c r="H78" s="241">
        <f t="shared" si="8"/>
        <v>0</v>
      </c>
      <c r="I78" s="117">
        <f t="shared" si="7"/>
        <v>0</v>
      </c>
      <c r="J78" s="231" t="e">
        <f t="shared" si="5"/>
        <v>#DIV/0!</v>
      </c>
    </row>
    <row r="79" spans="1:10" s="100" customFormat="1" ht="15.95" customHeight="1" outlineLevel="1">
      <c r="A79" s="108" t="s">
        <v>461</v>
      </c>
      <c r="B79" s="5">
        <v>88495</v>
      </c>
      <c r="C79" s="5" t="s">
        <v>18</v>
      </c>
      <c r="D79" s="106" t="s">
        <v>393</v>
      </c>
      <c r="E79" s="66" t="s">
        <v>116</v>
      </c>
      <c r="F79" s="64">
        <v>30.96</v>
      </c>
      <c r="G79" s="116"/>
      <c r="H79" s="117">
        <f t="shared" si="8"/>
        <v>0</v>
      </c>
      <c r="I79" s="117">
        <f t="shared" si="7"/>
        <v>0</v>
      </c>
      <c r="J79" s="231" t="e">
        <f t="shared" si="5"/>
        <v>#DIV/0!</v>
      </c>
    </row>
    <row r="80" spans="1:10" s="100" customFormat="1" ht="15.95" customHeight="1" outlineLevel="1">
      <c r="A80" s="108" t="s">
        <v>1862</v>
      </c>
      <c r="B80" s="5">
        <v>88489</v>
      </c>
      <c r="C80" s="5" t="s">
        <v>18</v>
      </c>
      <c r="D80" s="106" t="s">
        <v>36</v>
      </c>
      <c r="E80" s="66" t="s">
        <v>116</v>
      </c>
      <c r="F80" s="64">
        <f>F79</f>
        <v>30.96</v>
      </c>
      <c r="G80" s="116"/>
      <c r="H80" s="117">
        <f t="shared" si="8"/>
        <v>0</v>
      </c>
      <c r="I80" s="117">
        <f t="shared" si="7"/>
        <v>0</v>
      </c>
      <c r="J80" s="231" t="e">
        <f t="shared" si="5"/>
        <v>#DIV/0!</v>
      </c>
    </row>
    <row r="81" spans="1:11" s="100" customFormat="1" ht="27" outlineLevel="1">
      <c r="A81" s="108" t="s">
        <v>1863</v>
      </c>
      <c r="B81" s="5">
        <v>102219</v>
      </c>
      <c r="C81" s="5" t="s">
        <v>18</v>
      </c>
      <c r="D81" s="122" t="s">
        <v>397</v>
      </c>
      <c r="E81" s="66" t="s">
        <v>116</v>
      </c>
      <c r="F81" s="64">
        <f>(((0.9*2.1))*3)</f>
        <v>5.67</v>
      </c>
      <c r="G81" s="116"/>
      <c r="H81" s="117">
        <f t="shared" si="8"/>
        <v>0</v>
      </c>
      <c r="I81" s="117">
        <f t="shared" si="7"/>
        <v>0</v>
      </c>
      <c r="J81" s="231" t="e">
        <f t="shared" si="5"/>
        <v>#DIV/0!</v>
      </c>
    </row>
    <row r="82" spans="1:11" s="100" customFormat="1" outlineLevel="1">
      <c r="A82" s="108" t="s">
        <v>1864</v>
      </c>
      <c r="B82" s="5" t="s">
        <v>11</v>
      </c>
      <c r="C82" s="5" t="s">
        <v>9</v>
      </c>
      <c r="D82" s="122" t="s">
        <v>398</v>
      </c>
      <c r="E82" s="66" t="s">
        <v>116</v>
      </c>
      <c r="F82" s="64">
        <f>3.4*1.5</f>
        <v>5.0999999999999996</v>
      </c>
      <c r="G82" s="241" t="s">
        <v>10</v>
      </c>
      <c r="H82" s="121"/>
      <c r="I82" s="117">
        <f t="shared" si="7"/>
        <v>0</v>
      </c>
      <c r="J82" s="231" t="e">
        <f t="shared" si="5"/>
        <v>#DIV/0!</v>
      </c>
    </row>
    <row r="83" spans="1:11" s="100" customFormat="1" ht="15.95" customHeight="1" outlineLevel="1">
      <c r="A83" s="108" t="s">
        <v>1901</v>
      </c>
      <c r="B83" s="5" t="s">
        <v>10</v>
      </c>
      <c r="C83" s="5" t="str">
        <f>[1]Composições!I107</f>
        <v>COMP07</v>
      </c>
      <c r="D83" s="106" t="str">
        <f>[1]Composições!B107</f>
        <v>INSTALAÇÃO DE VENTILADOR</v>
      </c>
      <c r="E83" s="331" t="s">
        <v>221</v>
      </c>
      <c r="F83" s="64">
        <v>1</v>
      </c>
      <c r="G83" s="116"/>
      <c r="H83" s="333">
        <f>TRUNC((G83*(1+$I$12)),2)</f>
        <v>0</v>
      </c>
      <c r="I83" s="117">
        <f>ROUND((F83*H83),2)</f>
        <v>0</v>
      </c>
      <c r="J83" s="231" t="e">
        <f t="shared" si="5"/>
        <v>#DIV/0!</v>
      </c>
    </row>
    <row r="84" spans="1:11" ht="15.95" customHeight="1">
      <c r="A84" s="395" t="s">
        <v>437</v>
      </c>
      <c r="B84" s="396"/>
      <c r="C84" s="396"/>
      <c r="D84" s="396"/>
      <c r="E84" s="396"/>
      <c r="F84" s="396"/>
      <c r="G84" s="396"/>
      <c r="H84" s="397"/>
      <c r="I84" s="176">
        <f>SUM(I63:I83)</f>
        <v>0</v>
      </c>
      <c r="J84" s="317" t="e">
        <f>SUM(J63:J83)</f>
        <v>#DIV/0!</v>
      </c>
      <c r="K84" s="318" t="e">
        <f>I84/$I$432</f>
        <v>#DIV/0!</v>
      </c>
    </row>
    <row r="85" spans="1:11" ht="15.95" customHeight="1">
      <c r="A85" s="61" t="s">
        <v>438</v>
      </c>
      <c r="B85" s="381"/>
      <c r="C85" s="381"/>
      <c r="D85" s="107" t="s">
        <v>145</v>
      </c>
      <c r="E85" s="382"/>
      <c r="F85" s="382"/>
      <c r="G85" s="382"/>
      <c r="H85" s="382"/>
      <c r="I85" s="382"/>
      <c r="J85" s="382"/>
    </row>
    <row r="86" spans="1:11" s="100" customFormat="1" ht="15.95" customHeight="1" outlineLevel="1">
      <c r="A86" s="108" t="s">
        <v>439</v>
      </c>
      <c r="B86" s="5">
        <v>97644</v>
      </c>
      <c r="C86" s="5" t="s">
        <v>18</v>
      </c>
      <c r="D86" s="106" t="s">
        <v>463</v>
      </c>
      <c r="E86" s="66" t="s">
        <v>116</v>
      </c>
      <c r="F86" s="64">
        <f>1.95*2.1</f>
        <v>4.0949999999999998</v>
      </c>
      <c r="G86" s="116"/>
      <c r="H86" s="241">
        <f>TRUNC((G86*(1+$I$12)),2)</f>
        <v>0</v>
      </c>
      <c r="I86" s="242">
        <f>ROUND((F86*H86),2)</f>
        <v>0</v>
      </c>
      <c r="J86" s="231" t="e">
        <f t="shared" ref="J86:J104" si="9">(I86/$I$1421)</f>
        <v>#DIV/0!</v>
      </c>
    </row>
    <row r="87" spans="1:11" s="100" customFormat="1" ht="27" outlineLevel="1">
      <c r="A87" s="108" t="s">
        <v>468</v>
      </c>
      <c r="B87" s="5">
        <v>97640</v>
      </c>
      <c r="C87" s="5" t="s">
        <v>18</v>
      </c>
      <c r="D87" s="106" t="s">
        <v>1797</v>
      </c>
      <c r="E87" s="109" t="s">
        <v>116</v>
      </c>
      <c r="F87" s="64">
        <v>20.87</v>
      </c>
      <c r="G87" s="116"/>
      <c r="H87" s="241">
        <f>TRUNC((G87*(1+$I$12)),2)</f>
        <v>0</v>
      </c>
      <c r="I87" s="242">
        <f t="shared" ref="I87:I104" si="10">ROUND((F87*H87),2)</f>
        <v>0</v>
      </c>
      <c r="J87" s="231" t="e">
        <f t="shared" si="9"/>
        <v>#DIV/0!</v>
      </c>
    </row>
    <row r="88" spans="1:11" s="100" customFormat="1" ht="27" outlineLevel="1">
      <c r="A88" s="108" t="s">
        <v>469</v>
      </c>
      <c r="B88" s="63">
        <v>97660</v>
      </c>
      <c r="C88" s="63" t="s">
        <v>18</v>
      </c>
      <c r="D88" s="65" t="s">
        <v>1798</v>
      </c>
      <c r="E88" s="66" t="s">
        <v>221</v>
      </c>
      <c r="F88" s="64">
        <v>3</v>
      </c>
      <c r="G88" s="241"/>
      <c r="H88" s="241">
        <f>TRUNC((G88*(1+$I$12)),2)</f>
        <v>0</v>
      </c>
      <c r="I88" s="242">
        <f t="shared" si="10"/>
        <v>0</v>
      </c>
      <c r="J88" s="231" t="e">
        <f t="shared" si="9"/>
        <v>#DIV/0!</v>
      </c>
      <c r="K88" s="100">
        <f>((2*2.1*0.15)+(1.95*0.15))</f>
        <v>0.92249999999999999</v>
      </c>
    </row>
    <row r="89" spans="1:11" s="100" customFormat="1" ht="15.75" customHeight="1" outlineLevel="1">
      <c r="A89" s="108" t="s">
        <v>470</v>
      </c>
      <c r="B89" s="63">
        <v>97665</v>
      </c>
      <c r="C89" s="63" t="s">
        <v>18</v>
      </c>
      <c r="D89" s="65" t="s">
        <v>1799</v>
      </c>
      <c r="E89" s="66" t="s">
        <v>221</v>
      </c>
      <c r="F89" s="64">
        <v>2</v>
      </c>
      <c r="G89" s="241"/>
      <c r="H89" s="241">
        <f>TRUNC((G89*(1+$I$12)),2)</f>
        <v>0</v>
      </c>
      <c r="I89" s="242">
        <f t="shared" si="10"/>
        <v>0</v>
      </c>
      <c r="J89" s="231" t="e">
        <f t="shared" si="9"/>
        <v>#DIV/0!</v>
      </c>
      <c r="K89" s="100">
        <f>((20.9*2.76)-((1.95*2.1)+(2*0.8*2.1)+(0.9*2.1*4)+(1*1.2)))</f>
        <v>41.468999999999994</v>
      </c>
    </row>
    <row r="90" spans="1:11" s="100" customFormat="1" ht="15.95" customHeight="1" outlineLevel="1">
      <c r="A90" s="108" t="s">
        <v>440</v>
      </c>
      <c r="B90" s="63" t="s">
        <v>126</v>
      </c>
      <c r="C90" s="63" t="s">
        <v>9</v>
      </c>
      <c r="D90" s="65" t="s">
        <v>386</v>
      </c>
      <c r="E90" s="66" t="s">
        <v>115</v>
      </c>
      <c r="F90" s="64">
        <v>13.1</v>
      </c>
      <c r="G90" s="241" t="s">
        <v>10</v>
      </c>
      <c r="H90" s="121"/>
      <c r="I90" s="242">
        <f t="shared" si="10"/>
        <v>0</v>
      </c>
      <c r="J90" s="231" t="e">
        <f t="shared" si="9"/>
        <v>#DIV/0!</v>
      </c>
    </row>
    <row r="91" spans="1:11" s="100" customFormat="1" ht="15.95" customHeight="1" outlineLevel="1">
      <c r="A91" s="108" t="s">
        <v>471</v>
      </c>
      <c r="B91" s="63" t="s">
        <v>120</v>
      </c>
      <c r="C91" s="63" t="s">
        <v>7</v>
      </c>
      <c r="D91" s="65" t="s">
        <v>121</v>
      </c>
      <c r="E91" s="66" t="s">
        <v>116</v>
      </c>
      <c r="F91" s="64">
        <v>21.17</v>
      </c>
      <c r="G91" s="241"/>
      <c r="H91" s="241">
        <f t="shared" ref="H91:H103" si="11">TRUNC((G91*(1+$I$12)),2)</f>
        <v>0</v>
      </c>
      <c r="I91" s="242">
        <f t="shared" si="10"/>
        <v>0</v>
      </c>
      <c r="J91" s="231" t="e">
        <f t="shared" si="9"/>
        <v>#DIV/0!</v>
      </c>
    </row>
    <row r="92" spans="1:11" s="100" customFormat="1" ht="40.5" outlineLevel="1">
      <c r="A92" s="108" t="s">
        <v>472</v>
      </c>
      <c r="B92" s="63">
        <v>100983</v>
      </c>
      <c r="C92" s="63" t="s">
        <v>18</v>
      </c>
      <c r="D92" s="65" t="s">
        <v>1896</v>
      </c>
      <c r="E92" s="86" t="s">
        <v>218</v>
      </c>
      <c r="F92" s="80">
        <f>(0.21+0.63+0.01+0.02+2.12+0.04)*1.3</f>
        <v>3.9390000000000005</v>
      </c>
      <c r="G92" s="124"/>
      <c r="H92" s="350">
        <f t="shared" si="11"/>
        <v>0</v>
      </c>
      <c r="I92" s="117">
        <f t="shared" si="10"/>
        <v>0</v>
      </c>
      <c r="J92" s="231" t="e">
        <f t="shared" si="9"/>
        <v>#DIV/0!</v>
      </c>
    </row>
    <row r="93" spans="1:11" s="100" customFormat="1" ht="27" outlineLevel="1">
      <c r="A93" s="108" t="s">
        <v>473</v>
      </c>
      <c r="B93" s="63">
        <v>95875</v>
      </c>
      <c r="C93" s="63" t="s">
        <v>18</v>
      </c>
      <c r="D93" s="65" t="s">
        <v>1898</v>
      </c>
      <c r="E93" s="86" t="s">
        <v>1897</v>
      </c>
      <c r="F93" s="80">
        <f>F92*4</f>
        <v>15.756000000000002</v>
      </c>
      <c r="G93" s="124"/>
      <c r="H93" s="350">
        <f t="shared" si="11"/>
        <v>0</v>
      </c>
      <c r="I93" s="117">
        <f t="shared" si="10"/>
        <v>0</v>
      </c>
      <c r="J93" s="231" t="e">
        <f t="shared" si="9"/>
        <v>#DIV/0!</v>
      </c>
    </row>
    <row r="94" spans="1:11" s="157" customFormat="1" ht="27" outlineLevel="1">
      <c r="A94" s="108" t="s">
        <v>474</v>
      </c>
      <c r="B94" s="63">
        <v>97084</v>
      </c>
      <c r="C94" s="63" t="s">
        <v>18</v>
      </c>
      <c r="D94" s="65" t="s">
        <v>791</v>
      </c>
      <c r="E94" s="68" t="s">
        <v>116</v>
      </c>
      <c r="F94" s="64">
        <v>21.17</v>
      </c>
      <c r="G94" s="350"/>
      <c r="H94" s="347">
        <f t="shared" si="11"/>
        <v>0</v>
      </c>
      <c r="I94" s="116">
        <f t="shared" si="10"/>
        <v>0</v>
      </c>
      <c r="J94" s="231" t="e">
        <f t="shared" si="9"/>
        <v>#DIV/0!</v>
      </c>
    </row>
    <row r="95" spans="1:11" s="100" customFormat="1" ht="27" outlineLevel="1">
      <c r="A95" s="108" t="s">
        <v>441</v>
      </c>
      <c r="B95" s="128">
        <v>96622</v>
      </c>
      <c r="C95" s="128" t="s">
        <v>18</v>
      </c>
      <c r="D95" s="82" t="s">
        <v>1895</v>
      </c>
      <c r="E95" s="88" t="s">
        <v>218</v>
      </c>
      <c r="F95" s="75">
        <f>F94*0.05</f>
        <v>1.0585000000000002</v>
      </c>
      <c r="G95" s="145"/>
      <c r="H95" s="347">
        <f>TRUNC((G95*(1+$I$12)),2)</f>
        <v>0</v>
      </c>
      <c r="I95" s="116">
        <f t="shared" si="10"/>
        <v>0</v>
      </c>
      <c r="J95" s="231" t="e">
        <f t="shared" si="9"/>
        <v>#DIV/0!</v>
      </c>
    </row>
    <row r="96" spans="1:11" s="100" customFormat="1" ht="27" outlineLevel="1">
      <c r="A96" s="108" t="s">
        <v>442</v>
      </c>
      <c r="B96" s="128">
        <v>95241</v>
      </c>
      <c r="C96" s="128" t="s">
        <v>18</v>
      </c>
      <c r="D96" s="82" t="s">
        <v>1894</v>
      </c>
      <c r="E96" s="88" t="s">
        <v>116</v>
      </c>
      <c r="F96" s="75">
        <f>F94</f>
        <v>21.17</v>
      </c>
      <c r="G96" s="145"/>
      <c r="H96" s="347">
        <f>TRUNC((G96*(1+$I$12)),2)</f>
        <v>0</v>
      </c>
      <c r="I96" s="116">
        <f t="shared" si="10"/>
        <v>0</v>
      </c>
      <c r="J96" s="231" t="e">
        <f t="shared" si="9"/>
        <v>#DIV/0!</v>
      </c>
    </row>
    <row r="97" spans="1:11" s="100" customFormat="1" ht="40.5" outlineLevel="1">
      <c r="A97" s="108" t="s">
        <v>475</v>
      </c>
      <c r="B97" s="63">
        <v>104162</v>
      </c>
      <c r="C97" s="63" t="s">
        <v>18</v>
      </c>
      <c r="D97" s="65" t="s">
        <v>387</v>
      </c>
      <c r="E97" s="66" t="s">
        <v>116</v>
      </c>
      <c r="F97" s="64">
        <v>21.17</v>
      </c>
      <c r="G97" s="241"/>
      <c r="H97" s="241">
        <f t="shared" si="11"/>
        <v>0</v>
      </c>
      <c r="I97" s="242">
        <f t="shared" si="10"/>
        <v>0</v>
      </c>
      <c r="J97" s="231" t="e">
        <f t="shared" si="9"/>
        <v>#DIV/0!</v>
      </c>
      <c r="K97" s="100">
        <f>((2*2.1*0.15)+(0.9*0.15))</f>
        <v>0.76500000000000001</v>
      </c>
    </row>
    <row r="98" spans="1:11" s="100" customFormat="1" ht="15.95" customHeight="1" outlineLevel="1">
      <c r="A98" s="108" t="s">
        <v>443</v>
      </c>
      <c r="B98" s="63">
        <v>101741</v>
      </c>
      <c r="C98" s="63" t="s">
        <v>18</v>
      </c>
      <c r="D98" s="65" t="s">
        <v>388</v>
      </c>
      <c r="E98" s="66" t="s">
        <v>115</v>
      </c>
      <c r="F98" s="64">
        <v>13.1</v>
      </c>
      <c r="G98" s="241"/>
      <c r="H98" s="241">
        <f t="shared" si="11"/>
        <v>0</v>
      </c>
      <c r="I98" s="242">
        <f t="shared" si="10"/>
        <v>0</v>
      </c>
      <c r="J98" s="231" t="e">
        <f t="shared" si="9"/>
        <v>#DIV/0!</v>
      </c>
      <c r="K98" s="100">
        <f>(((13.75*2.76))-((0.9*2.1)+(3.4*1.5)))</f>
        <v>30.959999999999994</v>
      </c>
    </row>
    <row r="99" spans="1:11" s="100" customFormat="1" outlineLevel="1">
      <c r="A99" s="108" t="s">
        <v>444</v>
      </c>
      <c r="B99" s="63">
        <v>96114</v>
      </c>
      <c r="C99" s="63" t="s">
        <v>18</v>
      </c>
      <c r="D99" s="65" t="s">
        <v>390</v>
      </c>
      <c r="E99" s="66" t="s">
        <v>116</v>
      </c>
      <c r="F99" s="64">
        <v>20.87</v>
      </c>
      <c r="G99" s="241"/>
      <c r="H99" s="241">
        <f t="shared" si="11"/>
        <v>0</v>
      </c>
      <c r="I99" s="242">
        <f t="shared" si="10"/>
        <v>0</v>
      </c>
      <c r="J99" s="231" t="e">
        <f t="shared" si="9"/>
        <v>#DIV/0!</v>
      </c>
    </row>
    <row r="100" spans="1:11" s="100" customFormat="1" outlineLevel="1">
      <c r="A100" s="108" t="s">
        <v>892</v>
      </c>
      <c r="B100" s="63" t="s">
        <v>10</v>
      </c>
      <c r="C100" s="63" t="str">
        <f>[1]Composições!$I$114</f>
        <v>COMP08</v>
      </c>
      <c r="D100" s="65" t="str">
        <f>[1]Composições!$B$114</f>
        <v>REQUADRO DE PORTAS E JANELAS</v>
      </c>
      <c r="E100" s="66" t="s">
        <v>116</v>
      </c>
      <c r="F100" s="64">
        <f>((2*2.1*0.15)+(1.95*0.15))</f>
        <v>0.92249999999999999</v>
      </c>
      <c r="G100" s="325"/>
      <c r="H100" s="325">
        <f t="shared" si="11"/>
        <v>0</v>
      </c>
      <c r="I100" s="326">
        <f t="shared" si="10"/>
        <v>0</v>
      </c>
      <c r="J100" s="231" t="e">
        <f t="shared" si="9"/>
        <v>#DIV/0!</v>
      </c>
    </row>
    <row r="101" spans="1:11" s="100" customFormat="1" ht="27" outlineLevel="1">
      <c r="A101" s="108" t="s">
        <v>1865</v>
      </c>
      <c r="B101" s="63">
        <v>100702</v>
      </c>
      <c r="C101" s="63" t="s">
        <v>18</v>
      </c>
      <c r="D101" s="65" t="s">
        <v>464</v>
      </c>
      <c r="E101" s="66" t="s">
        <v>221</v>
      </c>
      <c r="F101" s="64">
        <f>1.95*2.1</f>
        <v>4.0949999999999998</v>
      </c>
      <c r="G101" s="241"/>
      <c r="H101" s="241">
        <f t="shared" si="11"/>
        <v>0</v>
      </c>
      <c r="I101" s="242">
        <f t="shared" si="10"/>
        <v>0</v>
      </c>
      <c r="J101" s="231" t="e">
        <f t="shared" si="9"/>
        <v>#DIV/0!</v>
      </c>
    </row>
    <row r="102" spans="1:11" s="100" customFormat="1" ht="15.95" customHeight="1" outlineLevel="1">
      <c r="A102" s="108" t="s">
        <v>1866</v>
      </c>
      <c r="B102" s="5">
        <v>88495</v>
      </c>
      <c r="C102" s="5" t="s">
        <v>18</v>
      </c>
      <c r="D102" s="106" t="s">
        <v>393</v>
      </c>
      <c r="E102" s="66" t="s">
        <v>116</v>
      </c>
      <c r="F102" s="64">
        <v>41.47</v>
      </c>
      <c r="G102" s="116"/>
      <c r="H102" s="117">
        <f t="shared" si="11"/>
        <v>0</v>
      </c>
      <c r="I102" s="242">
        <f t="shared" si="10"/>
        <v>0</v>
      </c>
      <c r="J102" s="231" t="e">
        <f t="shared" si="9"/>
        <v>#DIV/0!</v>
      </c>
    </row>
    <row r="103" spans="1:11" s="100" customFormat="1" ht="15.95" customHeight="1" outlineLevel="1">
      <c r="A103" s="108" t="s">
        <v>1867</v>
      </c>
      <c r="B103" s="5">
        <v>88489</v>
      </c>
      <c r="C103" s="5" t="s">
        <v>18</v>
      </c>
      <c r="D103" s="106" t="s">
        <v>36</v>
      </c>
      <c r="E103" s="66" t="s">
        <v>116</v>
      </c>
      <c r="F103" s="64">
        <f>F102</f>
        <v>41.47</v>
      </c>
      <c r="G103" s="116"/>
      <c r="H103" s="117">
        <f t="shared" si="11"/>
        <v>0</v>
      </c>
      <c r="I103" s="242">
        <f t="shared" si="10"/>
        <v>0</v>
      </c>
      <c r="J103" s="231" t="e">
        <f t="shared" si="9"/>
        <v>#DIV/0!</v>
      </c>
    </row>
    <row r="104" spans="1:11" s="100" customFormat="1" outlineLevel="1">
      <c r="A104" s="108" t="s">
        <v>1902</v>
      </c>
      <c r="B104" s="5" t="s">
        <v>466</v>
      </c>
      <c r="C104" s="5" t="s">
        <v>9</v>
      </c>
      <c r="D104" s="122" t="s">
        <v>465</v>
      </c>
      <c r="E104" s="66" t="s">
        <v>116</v>
      </c>
      <c r="F104" s="64">
        <v>8.1999999999999993</v>
      </c>
      <c r="G104" s="241" t="s">
        <v>10</v>
      </c>
      <c r="H104" s="121"/>
      <c r="I104" s="242">
        <f t="shared" si="10"/>
        <v>0</v>
      </c>
      <c r="J104" s="231" t="e">
        <f t="shared" si="9"/>
        <v>#DIV/0!</v>
      </c>
    </row>
    <row r="105" spans="1:11" ht="15.95" customHeight="1">
      <c r="A105" s="395" t="s">
        <v>467</v>
      </c>
      <c r="B105" s="396"/>
      <c r="C105" s="396"/>
      <c r="D105" s="396"/>
      <c r="E105" s="396"/>
      <c r="F105" s="396"/>
      <c r="G105" s="396"/>
      <c r="H105" s="397"/>
      <c r="I105" s="176">
        <f>SUM(I86:I104)</f>
        <v>0</v>
      </c>
      <c r="J105" s="317" t="e">
        <f>SUM(J86:J104)</f>
        <v>#DIV/0!</v>
      </c>
      <c r="K105" s="318" t="e">
        <f>I105/$I$432</f>
        <v>#DIV/0!</v>
      </c>
    </row>
    <row r="106" spans="1:11" ht="15.95" customHeight="1">
      <c r="A106" s="61" t="s">
        <v>476</v>
      </c>
      <c r="B106" s="381"/>
      <c r="C106" s="381"/>
      <c r="D106" s="107" t="s">
        <v>132</v>
      </c>
      <c r="E106" s="382"/>
      <c r="F106" s="382"/>
      <c r="G106" s="382"/>
      <c r="H106" s="382"/>
      <c r="I106" s="382"/>
      <c r="J106" s="382"/>
    </row>
    <row r="107" spans="1:11" s="100" customFormat="1" ht="15.75" customHeight="1" outlineLevel="1">
      <c r="A107" s="108" t="s">
        <v>492</v>
      </c>
      <c r="B107" s="5">
        <v>97644</v>
      </c>
      <c r="C107" s="5" t="s">
        <v>18</v>
      </c>
      <c r="D107" s="106" t="s">
        <v>463</v>
      </c>
      <c r="E107" s="109" t="s">
        <v>116</v>
      </c>
      <c r="F107" s="64">
        <v>3.78</v>
      </c>
      <c r="G107" s="116"/>
      <c r="H107" s="241">
        <f>TRUNC((G107*(1+$I$12)),2)</f>
        <v>0</v>
      </c>
      <c r="I107" s="117">
        <f>ROUND((F107*H107),2)</f>
        <v>0</v>
      </c>
      <c r="J107" s="231" t="e">
        <f t="shared" ref="J107:J141" si="12">(I107/$I$1421)</f>
        <v>#DIV/0!</v>
      </c>
    </row>
    <row r="108" spans="1:11" s="100" customFormat="1" ht="27" outlineLevel="1">
      <c r="A108" s="108" t="s">
        <v>494</v>
      </c>
      <c r="B108" s="5" t="s">
        <v>478</v>
      </c>
      <c r="C108" s="5" t="s">
        <v>7</v>
      </c>
      <c r="D108" s="106" t="s">
        <v>477</v>
      </c>
      <c r="E108" s="109" t="s">
        <v>218</v>
      </c>
      <c r="F108" s="64">
        <v>0.88</v>
      </c>
      <c r="G108" s="116"/>
      <c r="H108" s="241">
        <f>TRUNC((G108*(1+$I$12)),2)</f>
        <v>0</v>
      </c>
      <c r="I108" s="117">
        <f t="shared" ref="I108:I141" si="13">ROUND((F108*H108),2)</f>
        <v>0</v>
      </c>
      <c r="J108" s="231" t="e">
        <f t="shared" si="12"/>
        <v>#DIV/0!</v>
      </c>
    </row>
    <row r="109" spans="1:11" s="100" customFormat="1" ht="27" outlineLevel="1">
      <c r="A109" s="108" t="s">
        <v>496</v>
      </c>
      <c r="B109" s="5">
        <v>97640</v>
      </c>
      <c r="C109" s="5" t="s">
        <v>18</v>
      </c>
      <c r="D109" s="106" t="s">
        <v>1797</v>
      </c>
      <c r="E109" s="109" t="s">
        <v>116</v>
      </c>
      <c r="F109" s="64">
        <v>8.33</v>
      </c>
      <c r="G109" s="116"/>
      <c r="H109" s="241">
        <f>TRUNC((G109*(1+$I$12)),2)</f>
        <v>0</v>
      </c>
      <c r="I109" s="117">
        <f t="shared" si="13"/>
        <v>0</v>
      </c>
      <c r="J109" s="231" t="e">
        <f t="shared" si="12"/>
        <v>#DIV/0!</v>
      </c>
    </row>
    <row r="110" spans="1:11" s="100" customFormat="1" ht="15.95" customHeight="1" outlineLevel="1">
      <c r="A110" s="108" t="s">
        <v>495</v>
      </c>
      <c r="B110" s="101" t="s">
        <v>380</v>
      </c>
      <c r="C110" s="101" t="s">
        <v>9</v>
      </c>
      <c r="D110" s="102" t="s">
        <v>122</v>
      </c>
      <c r="E110" s="118" t="s">
        <v>221</v>
      </c>
      <c r="F110" s="80">
        <v>2</v>
      </c>
      <c r="G110" s="119" t="s">
        <v>10</v>
      </c>
      <c r="H110" s="120"/>
      <c r="I110" s="117">
        <f t="shared" si="13"/>
        <v>0</v>
      </c>
      <c r="J110" s="231" t="e">
        <f t="shared" si="12"/>
        <v>#DIV/0!</v>
      </c>
    </row>
    <row r="111" spans="1:11" s="100" customFormat="1" ht="27" outlineLevel="1">
      <c r="A111" s="108" t="s">
        <v>493</v>
      </c>
      <c r="B111" s="63">
        <v>97660</v>
      </c>
      <c r="C111" s="63" t="s">
        <v>18</v>
      </c>
      <c r="D111" s="65" t="s">
        <v>1798</v>
      </c>
      <c r="E111" s="66" t="s">
        <v>221</v>
      </c>
      <c r="F111" s="64">
        <v>2</v>
      </c>
      <c r="G111" s="241"/>
      <c r="H111" s="241">
        <f>TRUNC((G111*(1+$I$12)),2)</f>
        <v>0</v>
      </c>
      <c r="I111" s="117">
        <f t="shared" si="13"/>
        <v>0</v>
      </c>
      <c r="J111" s="231" t="e">
        <f t="shared" si="12"/>
        <v>#DIV/0!</v>
      </c>
    </row>
    <row r="112" spans="1:11" s="100" customFormat="1" ht="17.25" customHeight="1" outlineLevel="1">
      <c r="A112" s="108" t="s">
        <v>497</v>
      </c>
      <c r="B112" s="63" t="s">
        <v>385</v>
      </c>
      <c r="C112" s="63" t="s">
        <v>9</v>
      </c>
      <c r="D112" s="65" t="s">
        <v>384</v>
      </c>
      <c r="E112" s="66" t="s">
        <v>116</v>
      </c>
      <c r="F112" s="64">
        <v>30.1</v>
      </c>
      <c r="G112" s="241" t="s">
        <v>10</v>
      </c>
      <c r="H112" s="241"/>
      <c r="I112" s="117">
        <f t="shared" si="13"/>
        <v>0</v>
      </c>
      <c r="J112" s="231" t="e">
        <f t="shared" si="12"/>
        <v>#DIV/0!</v>
      </c>
    </row>
    <row r="113" spans="1:11" s="100" customFormat="1" ht="15.75" customHeight="1" outlineLevel="1">
      <c r="A113" s="108" t="s">
        <v>498</v>
      </c>
      <c r="B113" s="63">
        <v>97665</v>
      </c>
      <c r="C113" s="63" t="s">
        <v>18</v>
      </c>
      <c r="D113" s="65" t="s">
        <v>1799</v>
      </c>
      <c r="E113" s="66" t="s">
        <v>221</v>
      </c>
      <c r="F113" s="64">
        <v>2</v>
      </c>
      <c r="G113" s="241"/>
      <c r="H113" s="241">
        <f>TRUNC((G113*(1+$I$12)),2)</f>
        <v>0</v>
      </c>
      <c r="I113" s="117">
        <f t="shared" si="13"/>
        <v>0</v>
      </c>
      <c r="J113" s="231" t="e">
        <f t="shared" si="12"/>
        <v>#DIV/0!</v>
      </c>
    </row>
    <row r="114" spans="1:11" s="100" customFormat="1" ht="15.95" customHeight="1" outlineLevel="1">
      <c r="A114" s="108" t="s">
        <v>499</v>
      </c>
      <c r="B114" s="63" t="s">
        <v>126</v>
      </c>
      <c r="C114" s="63" t="s">
        <v>9</v>
      </c>
      <c r="D114" s="65" t="s">
        <v>386</v>
      </c>
      <c r="E114" s="66" t="s">
        <v>115</v>
      </c>
      <c r="F114" s="64">
        <v>14.9</v>
      </c>
      <c r="G114" s="241" t="s">
        <v>10</v>
      </c>
      <c r="H114" s="121"/>
      <c r="I114" s="117">
        <f t="shared" si="13"/>
        <v>0</v>
      </c>
      <c r="J114" s="231" t="e">
        <f t="shared" si="12"/>
        <v>#DIV/0!</v>
      </c>
    </row>
    <row r="115" spans="1:11" s="100" customFormat="1" ht="15.95" customHeight="1" outlineLevel="1">
      <c r="A115" s="108" t="s">
        <v>500</v>
      </c>
      <c r="B115" s="63" t="s">
        <v>120</v>
      </c>
      <c r="C115" s="63" t="s">
        <v>7</v>
      </c>
      <c r="D115" s="65" t="s">
        <v>121</v>
      </c>
      <c r="E115" s="66" t="s">
        <v>116</v>
      </c>
      <c r="F115" s="64">
        <v>8.6</v>
      </c>
      <c r="G115" s="241"/>
      <c r="H115" s="241">
        <f t="shared" ref="H115:H133" si="14">TRUNC((G115*(1+$I$12)),2)</f>
        <v>0</v>
      </c>
      <c r="I115" s="117">
        <f t="shared" si="13"/>
        <v>0</v>
      </c>
      <c r="J115" s="231" t="e">
        <f t="shared" si="12"/>
        <v>#DIV/0!</v>
      </c>
      <c r="K115" s="100">
        <f>((4*2.1*0.15)+(2*0.8*0.15))</f>
        <v>1.5</v>
      </c>
    </row>
    <row r="116" spans="1:11" s="100" customFormat="1" ht="15.95" customHeight="1" outlineLevel="1">
      <c r="A116" s="108" t="s">
        <v>501</v>
      </c>
      <c r="B116" s="63" t="s">
        <v>480</v>
      </c>
      <c r="C116" s="63" t="s">
        <v>7</v>
      </c>
      <c r="D116" s="65" t="s">
        <v>479</v>
      </c>
      <c r="E116" s="66" t="s">
        <v>221</v>
      </c>
      <c r="F116" s="64">
        <v>4</v>
      </c>
      <c r="G116" s="241"/>
      <c r="H116" s="241">
        <f t="shared" si="14"/>
        <v>0</v>
      </c>
      <c r="I116" s="117">
        <f t="shared" si="13"/>
        <v>0</v>
      </c>
      <c r="J116" s="231" t="e">
        <f t="shared" si="12"/>
        <v>#DIV/0!</v>
      </c>
    </row>
    <row r="117" spans="1:11" s="100" customFormat="1" ht="15.95" customHeight="1" outlineLevel="1">
      <c r="A117" s="108" t="s">
        <v>502</v>
      </c>
      <c r="B117" s="63">
        <v>97663</v>
      </c>
      <c r="C117" s="63" t="s">
        <v>18</v>
      </c>
      <c r="D117" s="65" t="s">
        <v>481</v>
      </c>
      <c r="E117" s="66" t="s">
        <v>221</v>
      </c>
      <c r="F117" s="64">
        <v>2</v>
      </c>
      <c r="G117" s="241"/>
      <c r="H117" s="241">
        <f t="shared" si="14"/>
        <v>0</v>
      </c>
      <c r="I117" s="117">
        <f t="shared" si="13"/>
        <v>0</v>
      </c>
      <c r="J117" s="231" t="e">
        <f t="shared" si="12"/>
        <v>#DIV/0!</v>
      </c>
    </row>
    <row r="118" spans="1:11" s="100" customFormat="1" ht="15.95" customHeight="1" outlineLevel="1">
      <c r="A118" s="108" t="s">
        <v>503</v>
      </c>
      <c r="B118" s="63">
        <v>97664</v>
      </c>
      <c r="C118" s="63" t="s">
        <v>18</v>
      </c>
      <c r="D118" s="65" t="s">
        <v>482</v>
      </c>
      <c r="E118" s="66" t="s">
        <v>221</v>
      </c>
      <c r="F118" s="64">
        <v>6</v>
      </c>
      <c r="G118" s="241"/>
      <c r="H118" s="241">
        <f t="shared" si="14"/>
        <v>0</v>
      </c>
      <c r="I118" s="117">
        <f t="shared" si="13"/>
        <v>0</v>
      </c>
      <c r="J118" s="231" t="e">
        <f t="shared" si="12"/>
        <v>#DIV/0!</v>
      </c>
    </row>
    <row r="119" spans="1:11" s="100" customFormat="1" ht="27" customHeight="1" outlineLevel="1">
      <c r="A119" s="108" t="s">
        <v>504</v>
      </c>
      <c r="B119" s="63">
        <v>100983</v>
      </c>
      <c r="C119" s="63" t="s">
        <v>18</v>
      </c>
      <c r="D119" s="65" t="s">
        <v>1896</v>
      </c>
      <c r="E119" s="86" t="s">
        <v>218</v>
      </c>
      <c r="F119" s="80">
        <f>(0.2+0.08+0.88+0.25+0.01+0.02+0.04+0.06+0.02+0.01+0.86+0.05+0.9)*1.3</f>
        <v>4.3940000000000001</v>
      </c>
      <c r="G119" s="124"/>
      <c r="H119" s="350">
        <f t="shared" si="14"/>
        <v>0</v>
      </c>
      <c r="I119" s="117">
        <f t="shared" si="13"/>
        <v>0</v>
      </c>
      <c r="J119" s="231" t="e">
        <f t="shared" si="12"/>
        <v>#DIV/0!</v>
      </c>
    </row>
    <row r="120" spans="1:11" s="100" customFormat="1" ht="27" outlineLevel="1">
      <c r="A120" s="108" t="s">
        <v>505</v>
      </c>
      <c r="B120" s="63">
        <v>95875</v>
      </c>
      <c r="C120" s="63" t="s">
        <v>18</v>
      </c>
      <c r="D120" s="65" t="s">
        <v>1898</v>
      </c>
      <c r="E120" s="86" t="s">
        <v>1897</v>
      </c>
      <c r="F120" s="80">
        <f>F119*4</f>
        <v>17.576000000000001</v>
      </c>
      <c r="G120" s="124"/>
      <c r="H120" s="350">
        <f t="shared" si="14"/>
        <v>0</v>
      </c>
      <c r="I120" s="117">
        <f t="shared" si="13"/>
        <v>0</v>
      </c>
      <c r="J120" s="231" t="e">
        <f t="shared" si="12"/>
        <v>#DIV/0!</v>
      </c>
    </row>
    <row r="121" spans="1:11" s="157" customFormat="1" ht="27" outlineLevel="1">
      <c r="A121" s="108" t="s">
        <v>506</v>
      </c>
      <c r="B121" s="63">
        <v>97084</v>
      </c>
      <c r="C121" s="63" t="s">
        <v>18</v>
      </c>
      <c r="D121" s="65" t="s">
        <v>791</v>
      </c>
      <c r="E121" s="68" t="s">
        <v>116</v>
      </c>
      <c r="F121" s="64">
        <v>8.6</v>
      </c>
      <c r="G121" s="350"/>
      <c r="H121" s="347">
        <f t="shared" si="14"/>
        <v>0</v>
      </c>
      <c r="I121" s="116">
        <f t="shared" si="13"/>
        <v>0</v>
      </c>
      <c r="J121" s="231" t="e">
        <f t="shared" si="12"/>
        <v>#DIV/0!</v>
      </c>
    </row>
    <row r="122" spans="1:11" s="100" customFormat="1" ht="27" outlineLevel="1">
      <c r="A122" s="108" t="s">
        <v>507</v>
      </c>
      <c r="B122" s="128">
        <v>96622</v>
      </c>
      <c r="C122" s="128" t="s">
        <v>18</v>
      </c>
      <c r="D122" s="82" t="s">
        <v>1895</v>
      </c>
      <c r="E122" s="88" t="s">
        <v>218</v>
      </c>
      <c r="F122" s="75">
        <f>F121*0.05</f>
        <v>0.43</v>
      </c>
      <c r="G122" s="145"/>
      <c r="H122" s="347">
        <f>TRUNC((G122*(1+$I$12)),2)</f>
        <v>0</v>
      </c>
      <c r="I122" s="116">
        <f t="shared" si="13"/>
        <v>0</v>
      </c>
      <c r="J122" s="231" t="e">
        <f t="shared" si="12"/>
        <v>#DIV/0!</v>
      </c>
    </row>
    <row r="123" spans="1:11" s="100" customFormat="1" ht="27" outlineLevel="1">
      <c r="A123" s="108" t="s">
        <v>508</v>
      </c>
      <c r="B123" s="128">
        <v>95241</v>
      </c>
      <c r="C123" s="128" t="s">
        <v>18</v>
      </c>
      <c r="D123" s="82" t="s">
        <v>1894</v>
      </c>
      <c r="E123" s="88" t="s">
        <v>116</v>
      </c>
      <c r="F123" s="75">
        <f>F121</f>
        <v>8.6</v>
      </c>
      <c r="G123" s="145"/>
      <c r="H123" s="347">
        <f>TRUNC((G123*(1+$I$12)),2)</f>
        <v>0</v>
      </c>
      <c r="I123" s="116">
        <f t="shared" si="13"/>
        <v>0</v>
      </c>
      <c r="J123" s="231" t="e">
        <f t="shared" si="12"/>
        <v>#DIV/0!</v>
      </c>
    </row>
    <row r="124" spans="1:11" s="100" customFormat="1" ht="40.5" outlineLevel="1">
      <c r="A124" s="108" t="s">
        <v>509</v>
      </c>
      <c r="B124" s="63">
        <v>104162</v>
      </c>
      <c r="C124" s="63" t="s">
        <v>18</v>
      </c>
      <c r="D124" s="65" t="s">
        <v>387</v>
      </c>
      <c r="E124" s="66" t="s">
        <v>116</v>
      </c>
      <c r="F124" s="64">
        <v>8.6</v>
      </c>
      <c r="G124" s="241"/>
      <c r="H124" s="241">
        <f t="shared" si="14"/>
        <v>0</v>
      </c>
      <c r="I124" s="117">
        <f t="shared" si="13"/>
        <v>0</v>
      </c>
      <c r="J124" s="231" t="e">
        <f t="shared" si="12"/>
        <v>#DIV/0!</v>
      </c>
      <c r="K124" s="100">
        <f>((2*2.1*0.15)+(0.9*0.15))</f>
        <v>0.76500000000000001</v>
      </c>
    </row>
    <row r="125" spans="1:11" s="100" customFormat="1" ht="15.95" customHeight="1" outlineLevel="1">
      <c r="A125" s="108" t="s">
        <v>510</v>
      </c>
      <c r="B125" s="63">
        <v>101741</v>
      </c>
      <c r="C125" s="63" t="s">
        <v>18</v>
      </c>
      <c r="D125" s="65" t="s">
        <v>388</v>
      </c>
      <c r="E125" s="66" t="s">
        <v>115</v>
      </c>
      <c r="F125" s="64">
        <v>14.9</v>
      </c>
      <c r="G125" s="241"/>
      <c r="H125" s="241">
        <f t="shared" si="14"/>
        <v>0</v>
      </c>
      <c r="I125" s="117">
        <f t="shared" si="13"/>
        <v>0</v>
      </c>
      <c r="J125" s="231" t="e">
        <f t="shared" si="12"/>
        <v>#DIV/0!</v>
      </c>
      <c r="K125" s="100">
        <f>(((13.75*2.76))-((0.9*2.1)+(3.4*1.5)))</f>
        <v>30.959999999999994</v>
      </c>
    </row>
    <row r="126" spans="1:11" s="100" customFormat="1" ht="27" outlineLevel="1">
      <c r="A126" s="108" t="s">
        <v>511</v>
      </c>
      <c r="B126" s="63">
        <v>102257</v>
      </c>
      <c r="C126" s="63" t="s">
        <v>18</v>
      </c>
      <c r="D126" s="65" t="s">
        <v>483</v>
      </c>
      <c r="E126" s="66" t="s">
        <v>116</v>
      </c>
      <c r="F126" s="64">
        <v>9.36</v>
      </c>
      <c r="G126" s="241"/>
      <c r="H126" s="241">
        <f t="shared" si="14"/>
        <v>0</v>
      </c>
      <c r="I126" s="117">
        <f t="shared" si="13"/>
        <v>0</v>
      </c>
      <c r="J126" s="231" t="e">
        <f t="shared" si="12"/>
        <v>#DIV/0!</v>
      </c>
    </row>
    <row r="127" spans="1:11" s="100" customFormat="1" ht="27" customHeight="1" outlineLevel="1">
      <c r="A127" s="108" t="s">
        <v>512</v>
      </c>
      <c r="B127" s="63">
        <v>96114</v>
      </c>
      <c r="C127" s="63" t="s">
        <v>18</v>
      </c>
      <c r="D127" s="65" t="s">
        <v>390</v>
      </c>
      <c r="E127" s="66" t="s">
        <v>116</v>
      </c>
      <c r="F127" s="64">
        <v>8.33</v>
      </c>
      <c r="G127" s="241"/>
      <c r="H127" s="241">
        <f t="shared" si="14"/>
        <v>0</v>
      </c>
      <c r="I127" s="117">
        <f t="shared" si="13"/>
        <v>0</v>
      </c>
      <c r="J127" s="231" t="e">
        <f t="shared" si="12"/>
        <v>#DIV/0!</v>
      </c>
      <c r="K127" s="100">
        <f>((2*0.8*2.1)*3)</f>
        <v>10.080000000000002</v>
      </c>
    </row>
    <row r="128" spans="1:11" s="100" customFormat="1" outlineLevel="1">
      <c r="A128" s="108" t="s">
        <v>513</v>
      </c>
      <c r="B128" s="63" t="s">
        <v>10</v>
      </c>
      <c r="C128" s="63" t="str">
        <f>[1]Composições!$I$114</f>
        <v>COMP08</v>
      </c>
      <c r="D128" s="65" t="str">
        <f>[1]Composições!$B$114</f>
        <v>REQUADRO DE PORTAS E JANELAS</v>
      </c>
      <c r="E128" s="66" t="s">
        <v>116</v>
      </c>
      <c r="F128" s="64">
        <v>1.5</v>
      </c>
      <c r="G128" s="322"/>
      <c r="H128" s="322">
        <f t="shared" si="14"/>
        <v>0</v>
      </c>
      <c r="I128" s="117">
        <f t="shared" si="13"/>
        <v>0</v>
      </c>
      <c r="J128" s="231" t="e">
        <f t="shared" si="12"/>
        <v>#DIV/0!</v>
      </c>
      <c r="K128" s="100">
        <f>(1.6*0.45*2)+(2.5*0.45*2)</f>
        <v>3.6900000000000004</v>
      </c>
    </row>
    <row r="129" spans="1:11" s="100" customFormat="1" ht="27" outlineLevel="1">
      <c r="A129" s="108" t="s">
        <v>514</v>
      </c>
      <c r="B129" s="63">
        <v>94807</v>
      </c>
      <c r="C129" s="63" t="s">
        <v>18</v>
      </c>
      <c r="D129" s="65" t="s">
        <v>524</v>
      </c>
      <c r="E129" s="66" t="s">
        <v>116</v>
      </c>
      <c r="F129" s="64">
        <f>(3*0.6*1.8)</f>
        <v>3.2399999999999998</v>
      </c>
      <c r="G129" s="241"/>
      <c r="H129" s="241">
        <f t="shared" si="14"/>
        <v>0</v>
      </c>
      <c r="I129" s="117">
        <f t="shared" si="13"/>
        <v>0</v>
      </c>
      <c r="J129" s="231" t="e">
        <f t="shared" si="12"/>
        <v>#DIV/0!</v>
      </c>
      <c r="K129" s="100">
        <f>(((8.35+8.35)*2.76)-((2*0.8*2.1)+(1.6*0.45)+(2.5*0.45)))</f>
        <v>40.886999999999993</v>
      </c>
    </row>
    <row r="130" spans="1:11" s="100" customFormat="1" ht="40.5" outlineLevel="1">
      <c r="A130" s="108" t="s">
        <v>515</v>
      </c>
      <c r="B130" s="103">
        <v>90843</v>
      </c>
      <c r="C130" s="103" t="s">
        <v>18</v>
      </c>
      <c r="D130" s="85" t="s">
        <v>391</v>
      </c>
      <c r="E130" s="86" t="s">
        <v>221</v>
      </c>
      <c r="F130" s="80">
        <v>2</v>
      </c>
      <c r="G130" s="124"/>
      <c r="H130" s="124">
        <f t="shared" ref="H130:H132" si="15">TRUNC((G130*(1+$I$12)),2)</f>
        <v>0</v>
      </c>
      <c r="I130" s="117">
        <f t="shared" si="13"/>
        <v>0</v>
      </c>
      <c r="J130" s="231" t="e">
        <f t="shared" si="12"/>
        <v>#DIV/0!</v>
      </c>
      <c r="K130" s="100">
        <f>(((8.35+8.35)*2.76)-((2*0.8*2.1)+(1.6*0.45)+(2.5*0.45)))</f>
        <v>40.886999999999993</v>
      </c>
    </row>
    <row r="131" spans="1:11" s="100" customFormat="1" ht="40.5" outlineLevel="1">
      <c r="A131" s="108" t="s">
        <v>516</v>
      </c>
      <c r="B131" s="63">
        <v>87532</v>
      </c>
      <c r="C131" s="103" t="s">
        <v>18</v>
      </c>
      <c r="D131" s="85" t="s">
        <v>484</v>
      </c>
      <c r="E131" s="86" t="s">
        <v>116</v>
      </c>
      <c r="F131" s="80">
        <v>41.06</v>
      </c>
      <c r="G131" s="124"/>
      <c r="H131" s="124">
        <f t="shared" si="15"/>
        <v>0</v>
      </c>
      <c r="I131" s="117">
        <f t="shared" si="13"/>
        <v>0</v>
      </c>
      <c r="J131" s="231" t="e">
        <f t="shared" si="12"/>
        <v>#DIV/0!</v>
      </c>
    </row>
    <row r="132" spans="1:11" s="100" customFormat="1" ht="40.5" outlineLevel="1">
      <c r="A132" s="108" t="s">
        <v>517</v>
      </c>
      <c r="B132" s="63">
        <v>104455</v>
      </c>
      <c r="C132" s="63" t="s">
        <v>18</v>
      </c>
      <c r="D132" s="65" t="s">
        <v>485</v>
      </c>
      <c r="E132" s="66" t="s">
        <v>116</v>
      </c>
      <c r="F132" s="64">
        <v>87.09</v>
      </c>
      <c r="G132" s="241"/>
      <c r="H132" s="241">
        <f t="shared" si="15"/>
        <v>0</v>
      </c>
      <c r="I132" s="117">
        <f t="shared" si="13"/>
        <v>0</v>
      </c>
      <c r="J132" s="231" t="e">
        <f t="shared" si="12"/>
        <v>#DIV/0!</v>
      </c>
    </row>
    <row r="133" spans="1:11" s="100" customFormat="1" ht="27" outlineLevel="1">
      <c r="A133" s="108" t="s">
        <v>518</v>
      </c>
      <c r="B133" s="63">
        <v>102219</v>
      </c>
      <c r="C133" s="63" t="s">
        <v>18</v>
      </c>
      <c r="D133" s="65" t="s">
        <v>397</v>
      </c>
      <c r="E133" s="83" t="s">
        <v>116</v>
      </c>
      <c r="F133" s="75">
        <f>(((2*0.8*2.1)*3))</f>
        <v>10.080000000000002</v>
      </c>
      <c r="G133" s="126"/>
      <c r="H133" s="127">
        <f t="shared" si="14"/>
        <v>0</v>
      </c>
      <c r="I133" s="117">
        <f t="shared" si="13"/>
        <v>0</v>
      </c>
      <c r="J133" s="231" t="e">
        <f t="shared" si="12"/>
        <v>#DIV/0!</v>
      </c>
    </row>
    <row r="134" spans="1:11" s="100" customFormat="1" ht="18.75" customHeight="1" outlineLevel="1">
      <c r="A134" s="108" t="s">
        <v>519</v>
      </c>
      <c r="B134" s="63" t="s">
        <v>11</v>
      </c>
      <c r="C134" s="63" t="s">
        <v>9</v>
      </c>
      <c r="D134" s="65" t="s">
        <v>398</v>
      </c>
      <c r="E134" s="66" t="s">
        <v>116</v>
      </c>
      <c r="F134" s="64">
        <v>3.69</v>
      </c>
      <c r="G134" s="241" t="s">
        <v>10</v>
      </c>
      <c r="H134" s="121"/>
      <c r="I134" s="117">
        <f t="shared" si="13"/>
        <v>0</v>
      </c>
      <c r="J134" s="231" t="e">
        <f t="shared" si="12"/>
        <v>#DIV/0!</v>
      </c>
    </row>
    <row r="135" spans="1:11" s="100" customFormat="1" outlineLevel="1">
      <c r="A135" s="108" t="s">
        <v>520</v>
      </c>
      <c r="B135" s="108" t="s">
        <v>123</v>
      </c>
      <c r="C135" s="128" t="s">
        <v>7</v>
      </c>
      <c r="D135" s="129" t="s">
        <v>399</v>
      </c>
      <c r="E135" s="123" t="s">
        <v>221</v>
      </c>
      <c r="F135" s="64">
        <v>2</v>
      </c>
      <c r="G135" s="116"/>
      <c r="H135" s="117">
        <f>TRUNC((G135*(1+$I$12)),2)</f>
        <v>0</v>
      </c>
      <c r="I135" s="117">
        <f t="shared" si="13"/>
        <v>0</v>
      </c>
      <c r="J135" s="231" t="e">
        <f t="shared" si="12"/>
        <v>#DIV/0!</v>
      </c>
    </row>
    <row r="136" spans="1:11" s="100" customFormat="1" ht="27" outlineLevel="1">
      <c r="A136" s="108" t="s">
        <v>521</v>
      </c>
      <c r="B136" s="5">
        <v>86903</v>
      </c>
      <c r="C136" s="63" t="s">
        <v>18</v>
      </c>
      <c r="D136" s="106" t="s">
        <v>486</v>
      </c>
      <c r="E136" s="123" t="s">
        <v>221</v>
      </c>
      <c r="F136" s="64">
        <v>2</v>
      </c>
      <c r="G136" s="116"/>
      <c r="H136" s="117">
        <f>TRUNC((G136*(1+$I$12)),2)</f>
        <v>0</v>
      </c>
      <c r="I136" s="117">
        <f t="shared" si="13"/>
        <v>0</v>
      </c>
      <c r="J136" s="231" t="e">
        <f t="shared" si="12"/>
        <v>#DIV/0!</v>
      </c>
    </row>
    <row r="137" spans="1:11" s="100" customFormat="1" ht="27" outlineLevel="1">
      <c r="A137" s="108" t="s">
        <v>522</v>
      </c>
      <c r="B137" s="5">
        <v>95470</v>
      </c>
      <c r="C137" s="63" t="s">
        <v>18</v>
      </c>
      <c r="D137" s="122" t="s">
        <v>487</v>
      </c>
      <c r="E137" s="66" t="s">
        <v>221</v>
      </c>
      <c r="F137" s="64">
        <v>3</v>
      </c>
      <c r="G137" s="116"/>
      <c r="H137" s="117">
        <f>TRUNC((G137*(1+$I$12)),2)</f>
        <v>0</v>
      </c>
      <c r="I137" s="117">
        <f t="shared" si="13"/>
        <v>0</v>
      </c>
      <c r="J137" s="231" t="e">
        <f t="shared" si="12"/>
        <v>#DIV/0!</v>
      </c>
    </row>
    <row r="138" spans="1:11" s="100" customFormat="1" ht="23.25" customHeight="1" outlineLevel="1">
      <c r="A138" s="108" t="s">
        <v>1868</v>
      </c>
      <c r="B138" s="101">
        <v>100859</v>
      </c>
      <c r="C138" s="103" t="s">
        <v>18</v>
      </c>
      <c r="D138" s="130" t="s">
        <v>488</v>
      </c>
      <c r="E138" s="66" t="s">
        <v>221</v>
      </c>
      <c r="F138" s="80">
        <v>1</v>
      </c>
      <c r="G138" s="119"/>
      <c r="H138" s="120">
        <f>TRUNC((G138*(1+$I$12)),2)</f>
        <v>0</v>
      </c>
      <c r="I138" s="117">
        <f t="shared" si="13"/>
        <v>0</v>
      </c>
      <c r="J138" s="231" t="e">
        <f t="shared" si="12"/>
        <v>#DIV/0!</v>
      </c>
    </row>
    <row r="139" spans="1:11" s="100" customFormat="1" ht="23.25" customHeight="1" outlineLevel="1">
      <c r="A139" s="108" t="s">
        <v>1869</v>
      </c>
      <c r="B139" s="63">
        <v>95542</v>
      </c>
      <c r="C139" s="63" t="s">
        <v>18</v>
      </c>
      <c r="D139" s="131" t="s">
        <v>489</v>
      </c>
      <c r="E139" s="66" t="s">
        <v>221</v>
      </c>
      <c r="F139" s="64">
        <v>2</v>
      </c>
      <c r="G139" s="241"/>
      <c r="H139" s="120">
        <f t="shared" ref="H139:H141" si="16">TRUNC((G139*(1+$I$12)),2)</f>
        <v>0</v>
      </c>
      <c r="I139" s="117">
        <f t="shared" si="13"/>
        <v>0</v>
      </c>
      <c r="J139" s="231" t="e">
        <f t="shared" si="12"/>
        <v>#DIV/0!</v>
      </c>
    </row>
    <row r="140" spans="1:11" s="100" customFormat="1" ht="23.25" customHeight="1" outlineLevel="1">
      <c r="A140" s="108" t="s">
        <v>1870</v>
      </c>
      <c r="B140" s="63">
        <v>95544</v>
      </c>
      <c r="C140" s="63" t="s">
        <v>18</v>
      </c>
      <c r="D140" s="131" t="s">
        <v>490</v>
      </c>
      <c r="E140" s="66" t="s">
        <v>221</v>
      </c>
      <c r="F140" s="64">
        <v>3</v>
      </c>
      <c r="G140" s="241"/>
      <c r="H140" s="120">
        <f t="shared" si="16"/>
        <v>0</v>
      </c>
      <c r="I140" s="117">
        <f t="shared" si="13"/>
        <v>0</v>
      </c>
      <c r="J140" s="231" t="e">
        <f t="shared" si="12"/>
        <v>#DIV/0!</v>
      </c>
    </row>
    <row r="141" spans="1:11" s="100" customFormat="1" ht="23.25" customHeight="1" outlineLevel="1">
      <c r="A141" s="108" t="s">
        <v>1903</v>
      </c>
      <c r="B141" s="103">
        <v>95545</v>
      </c>
      <c r="C141" s="103" t="s">
        <v>18</v>
      </c>
      <c r="D141" s="132" t="s">
        <v>491</v>
      </c>
      <c r="E141" s="86" t="s">
        <v>221</v>
      </c>
      <c r="F141" s="80">
        <v>2</v>
      </c>
      <c r="G141" s="124"/>
      <c r="H141" s="120">
        <f t="shared" si="16"/>
        <v>0</v>
      </c>
      <c r="I141" s="117">
        <f t="shared" si="13"/>
        <v>0</v>
      </c>
      <c r="J141" s="231" t="e">
        <f t="shared" si="12"/>
        <v>#DIV/0!</v>
      </c>
    </row>
    <row r="142" spans="1:11" ht="15.95" customHeight="1">
      <c r="A142" s="378" t="s">
        <v>523</v>
      </c>
      <c r="B142" s="378"/>
      <c r="C142" s="378"/>
      <c r="D142" s="378"/>
      <c r="E142" s="378"/>
      <c r="F142" s="378"/>
      <c r="G142" s="378"/>
      <c r="H142" s="378"/>
      <c r="I142" s="177">
        <f>SUM(I107:I141)</f>
        <v>0</v>
      </c>
      <c r="J142" s="317" t="e">
        <f>SUM(J107:J141)</f>
        <v>#DIV/0!</v>
      </c>
      <c r="K142" s="318" t="e">
        <f>I142/$I$432</f>
        <v>#DIV/0!</v>
      </c>
    </row>
    <row r="143" spans="1:11" ht="15.95" customHeight="1">
      <c r="A143" s="61" t="s">
        <v>525</v>
      </c>
      <c r="B143" s="381"/>
      <c r="C143" s="381"/>
      <c r="D143" s="107" t="s">
        <v>146</v>
      </c>
      <c r="E143" s="382"/>
      <c r="F143" s="382"/>
      <c r="G143" s="382"/>
      <c r="H143" s="382"/>
      <c r="I143" s="382"/>
      <c r="J143" s="382"/>
    </row>
    <row r="144" spans="1:11" s="100" customFormat="1" ht="15.95" customHeight="1" outlineLevel="1">
      <c r="A144" s="108" t="s">
        <v>526</v>
      </c>
      <c r="B144" s="5">
        <v>97644</v>
      </c>
      <c r="C144" s="5" t="s">
        <v>18</v>
      </c>
      <c r="D144" s="106" t="s">
        <v>463</v>
      </c>
      <c r="E144" s="109" t="s">
        <v>116</v>
      </c>
      <c r="F144" s="64">
        <f>2.1*0.9</f>
        <v>1.8900000000000001</v>
      </c>
      <c r="G144" s="116"/>
      <c r="H144" s="241">
        <f>TRUNC((G144*(1+$I$12)),2)</f>
        <v>0</v>
      </c>
      <c r="I144" s="117">
        <f>ROUND((F144*H144),2)</f>
        <v>0</v>
      </c>
      <c r="J144" s="231" t="e">
        <f t="shared" ref="J144:J166" si="17">(I144/$I$1421)</f>
        <v>#DIV/0!</v>
      </c>
    </row>
    <row r="145" spans="1:11" s="100" customFormat="1" ht="27" outlineLevel="1">
      <c r="A145" s="108" t="s">
        <v>527</v>
      </c>
      <c r="B145" s="5">
        <v>97640</v>
      </c>
      <c r="C145" s="5" t="s">
        <v>18</v>
      </c>
      <c r="D145" s="106" t="s">
        <v>1797</v>
      </c>
      <c r="E145" s="109" t="s">
        <v>116</v>
      </c>
      <c r="F145" s="64">
        <v>24.15</v>
      </c>
      <c r="G145" s="116"/>
      <c r="H145" s="241">
        <f>TRUNC((G145*(1+$I$12)),2)</f>
        <v>0</v>
      </c>
      <c r="I145" s="242">
        <f t="shared" ref="I145" si="18">ROUND((F145*H145),2)</f>
        <v>0</v>
      </c>
      <c r="J145" s="231" t="e">
        <f t="shared" si="17"/>
        <v>#DIV/0!</v>
      </c>
      <c r="K145" s="100">
        <f>((20.95*2.76)-((0.9*2.1)+(2*3.4*1.5)))</f>
        <v>45.731999999999999</v>
      </c>
    </row>
    <row r="146" spans="1:11" s="100" customFormat="1" ht="27" outlineLevel="1">
      <c r="A146" s="108" t="s">
        <v>528</v>
      </c>
      <c r="B146" s="63">
        <v>97660</v>
      </c>
      <c r="C146" s="63" t="s">
        <v>18</v>
      </c>
      <c r="D146" s="65" t="s">
        <v>1798</v>
      </c>
      <c r="E146" s="66" t="s">
        <v>221</v>
      </c>
      <c r="F146" s="64">
        <v>8</v>
      </c>
      <c r="G146" s="325"/>
      <c r="H146" s="325">
        <f>TRUNC((G146*(1+$I$12)),2)</f>
        <v>0</v>
      </c>
      <c r="I146" s="325">
        <f t="shared" ref="I146:I147" si="19">ROUND((F146*H146),2)</f>
        <v>0</v>
      </c>
      <c r="J146" s="231" t="e">
        <f t="shared" si="17"/>
        <v>#DIV/0!</v>
      </c>
    </row>
    <row r="147" spans="1:11" s="100" customFormat="1" ht="15.75" customHeight="1" outlineLevel="1">
      <c r="A147" s="108" t="s">
        <v>529</v>
      </c>
      <c r="B147" s="63">
        <v>97665</v>
      </c>
      <c r="C147" s="63" t="s">
        <v>18</v>
      </c>
      <c r="D147" s="65" t="s">
        <v>1799</v>
      </c>
      <c r="E147" s="66" t="s">
        <v>221</v>
      </c>
      <c r="F147" s="64">
        <v>2</v>
      </c>
      <c r="G147" s="325"/>
      <c r="H147" s="325">
        <f>TRUNC((G147*(1+$I$12)),2)</f>
        <v>0</v>
      </c>
      <c r="I147" s="325">
        <f t="shared" si="19"/>
        <v>0</v>
      </c>
      <c r="J147" s="231" t="e">
        <f t="shared" si="17"/>
        <v>#DIV/0!</v>
      </c>
    </row>
    <row r="148" spans="1:11" s="100" customFormat="1" ht="15.95" customHeight="1" outlineLevel="1">
      <c r="A148" s="108" t="s">
        <v>530</v>
      </c>
      <c r="B148" s="63" t="s">
        <v>126</v>
      </c>
      <c r="C148" s="63" t="s">
        <v>9</v>
      </c>
      <c r="D148" s="65" t="s">
        <v>386</v>
      </c>
      <c r="E148" s="66" t="s">
        <v>115</v>
      </c>
      <c r="F148" s="64">
        <v>19.95</v>
      </c>
      <c r="G148" s="325" t="s">
        <v>10</v>
      </c>
      <c r="H148" s="121"/>
      <c r="I148" s="325">
        <f t="shared" ref="I148:I163" si="20">ROUND((F148*H148),2)</f>
        <v>0</v>
      </c>
      <c r="J148" s="231" t="e">
        <f t="shared" si="17"/>
        <v>#DIV/0!</v>
      </c>
    </row>
    <row r="149" spans="1:11" s="100" customFormat="1" ht="15.95" customHeight="1" outlineLevel="1">
      <c r="A149" s="108" t="s">
        <v>531</v>
      </c>
      <c r="B149" s="63" t="s">
        <v>120</v>
      </c>
      <c r="C149" s="63" t="s">
        <v>7</v>
      </c>
      <c r="D149" s="65" t="s">
        <v>121</v>
      </c>
      <c r="E149" s="66" t="s">
        <v>116</v>
      </c>
      <c r="F149" s="64">
        <v>24.3</v>
      </c>
      <c r="G149" s="325"/>
      <c r="H149" s="325">
        <f t="shared" ref="H149:H162" si="21">TRUNC((G149*(1+$I$12)),2)</f>
        <v>0</v>
      </c>
      <c r="I149" s="121">
        <f t="shared" si="20"/>
        <v>0</v>
      </c>
      <c r="J149" s="231" t="e">
        <f t="shared" si="17"/>
        <v>#DIV/0!</v>
      </c>
    </row>
    <row r="150" spans="1:11" s="100" customFormat="1" ht="40.5" outlineLevel="1">
      <c r="A150" s="108" t="s">
        <v>532</v>
      </c>
      <c r="B150" s="63">
        <v>100983</v>
      </c>
      <c r="C150" s="63" t="s">
        <v>18</v>
      </c>
      <c r="D150" s="65" t="s">
        <v>1896</v>
      </c>
      <c r="E150" s="86" t="s">
        <v>218</v>
      </c>
      <c r="F150" s="80">
        <f>(0.1+0.04+0.73+0.02+0.25+0.02+2.43+0.06)*1.3</f>
        <v>4.745000000000001</v>
      </c>
      <c r="G150" s="124"/>
      <c r="H150" s="350">
        <f t="shared" si="21"/>
        <v>0</v>
      </c>
      <c r="I150" s="117">
        <f t="shared" si="20"/>
        <v>0</v>
      </c>
      <c r="J150" s="231" t="e">
        <f t="shared" si="17"/>
        <v>#DIV/0!</v>
      </c>
    </row>
    <row r="151" spans="1:11" s="100" customFormat="1" ht="27" outlineLevel="1">
      <c r="A151" s="108" t="s">
        <v>533</v>
      </c>
      <c r="B151" s="63">
        <v>95875</v>
      </c>
      <c r="C151" s="63" t="s">
        <v>18</v>
      </c>
      <c r="D151" s="65" t="s">
        <v>1898</v>
      </c>
      <c r="E151" s="86" t="s">
        <v>1897</v>
      </c>
      <c r="F151" s="80">
        <f>F150*4</f>
        <v>18.980000000000004</v>
      </c>
      <c r="G151" s="124"/>
      <c r="H151" s="350">
        <f t="shared" si="21"/>
        <v>0</v>
      </c>
      <c r="I151" s="117">
        <f t="shared" si="20"/>
        <v>0</v>
      </c>
      <c r="J151" s="231" t="e">
        <f t="shared" si="17"/>
        <v>#DIV/0!</v>
      </c>
    </row>
    <row r="152" spans="1:11" s="157" customFormat="1" ht="27" outlineLevel="1">
      <c r="A152" s="108" t="s">
        <v>534</v>
      </c>
      <c r="B152" s="63">
        <v>97084</v>
      </c>
      <c r="C152" s="63" t="s">
        <v>18</v>
      </c>
      <c r="D152" s="65" t="s">
        <v>791</v>
      </c>
      <c r="E152" s="68" t="s">
        <v>116</v>
      </c>
      <c r="F152" s="64">
        <v>24.3</v>
      </c>
      <c r="G152" s="350"/>
      <c r="H152" s="347">
        <f t="shared" si="21"/>
        <v>0</v>
      </c>
      <c r="I152" s="116">
        <f t="shared" si="20"/>
        <v>0</v>
      </c>
      <c r="J152" s="231" t="e">
        <f t="shared" si="17"/>
        <v>#DIV/0!</v>
      </c>
    </row>
    <row r="153" spans="1:11" s="100" customFormat="1" ht="27" outlineLevel="1">
      <c r="A153" s="108" t="s">
        <v>535</v>
      </c>
      <c r="B153" s="128">
        <v>96622</v>
      </c>
      <c r="C153" s="128" t="s">
        <v>18</v>
      </c>
      <c r="D153" s="82" t="s">
        <v>1895</v>
      </c>
      <c r="E153" s="88" t="s">
        <v>218</v>
      </c>
      <c r="F153" s="75">
        <f>F152*0.05</f>
        <v>1.2150000000000001</v>
      </c>
      <c r="G153" s="145"/>
      <c r="H153" s="347">
        <f>TRUNC((G153*(1+$I$12)),2)</f>
        <v>0</v>
      </c>
      <c r="I153" s="116">
        <f t="shared" si="20"/>
        <v>0</v>
      </c>
      <c r="J153" s="231" t="e">
        <f t="shared" si="17"/>
        <v>#DIV/0!</v>
      </c>
    </row>
    <row r="154" spans="1:11" s="100" customFormat="1" ht="27" outlineLevel="1">
      <c r="A154" s="108" t="s">
        <v>536</v>
      </c>
      <c r="B154" s="128">
        <v>95241</v>
      </c>
      <c r="C154" s="128" t="s">
        <v>18</v>
      </c>
      <c r="D154" s="82" t="s">
        <v>1894</v>
      </c>
      <c r="E154" s="88" t="s">
        <v>116</v>
      </c>
      <c r="F154" s="75">
        <f>F152</f>
        <v>24.3</v>
      </c>
      <c r="G154" s="145"/>
      <c r="H154" s="347">
        <f>TRUNC((G154*(1+$I$12)),2)</f>
        <v>0</v>
      </c>
      <c r="I154" s="116">
        <f t="shared" si="20"/>
        <v>0</v>
      </c>
      <c r="J154" s="231" t="e">
        <f t="shared" si="17"/>
        <v>#DIV/0!</v>
      </c>
    </row>
    <row r="155" spans="1:11" s="100" customFormat="1" ht="40.5" outlineLevel="1">
      <c r="A155" s="108" t="s">
        <v>537</v>
      </c>
      <c r="B155" s="63">
        <v>104162</v>
      </c>
      <c r="C155" s="63" t="s">
        <v>18</v>
      </c>
      <c r="D155" s="65" t="s">
        <v>387</v>
      </c>
      <c r="E155" s="66" t="s">
        <v>116</v>
      </c>
      <c r="F155" s="64">
        <v>24.3</v>
      </c>
      <c r="G155" s="325"/>
      <c r="H155" s="325">
        <f t="shared" si="21"/>
        <v>0</v>
      </c>
      <c r="I155" s="121">
        <f t="shared" si="20"/>
        <v>0</v>
      </c>
      <c r="J155" s="231" t="e">
        <f t="shared" si="17"/>
        <v>#DIV/0!</v>
      </c>
      <c r="K155" s="100">
        <f>((2*2.1*0.15)+(0.9*0.15))</f>
        <v>0.76500000000000001</v>
      </c>
    </row>
    <row r="156" spans="1:11" s="100" customFormat="1" ht="15.95" customHeight="1" outlineLevel="1">
      <c r="A156" s="108" t="s">
        <v>538</v>
      </c>
      <c r="B156" s="63">
        <v>101741</v>
      </c>
      <c r="C156" s="63" t="s">
        <v>18</v>
      </c>
      <c r="D156" s="65" t="s">
        <v>388</v>
      </c>
      <c r="E156" s="66" t="s">
        <v>115</v>
      </c>
      <c r="F156" s="64">
        <v>19.95</v>
      </c>
      <c r="G156" s="325"/>
      <c r="H156" s="325">
        <f t="shared" si="21"/>
        <v>0</v>
      </c>
      <c r="I156" s="121">
        <f t="shared" si="20"/>
        <v>0</v>
      </c>
      <c r="J156" s="231" t="e">
        <f t="shared" si="17"/>
        <v>#DIV/0!</v>
      </c>
      <c r="K156" s="100">
        <f>(((13.75*2.76))-((0.9*2.1)+(3.4*1.5)))</f>
        <v>30.959999999999994</v>
      </c>
    </row>
    <row r="157" spans="1:11" s="100" customFormat="1" outlineLevel="1">
      <c r="A157" s="108" t="s">
        <v>539</v>
      </c>
      <c r="B157" s="63">
        <v>96114</v>
      </c>
      <c r="C157" s="63" t="s">
        <v>18</v>
      </c>
      <c r="D157" s="65" t="s">
        <v>390</v>
      </c>
      <c r="E157" s="66" t="s">
        <v>116</v>
      </c>
      <c r="F157" s="64">
        <v>24.15</v>
      </c>
      <c r="G157" s="325"/>
      <c r="H157" s="325">
        <f t="shared" si="21"/>
        <v>0</v>
      </c>
      <c r="I157" s="121">
        <f t="shared" si="20"/>
        <v>0</v>
      </c>
      <c r="J157" s="231" t="e">
        <f t="shared" si="17"/>
        <v>#DIV/0!</v>
      </c>
    </row>
    <row r="158" spans="1:11" s="100" customFormat="1" outlineLevel="1">
      <c r="A158" s="108" t="s">
        <v>540</v>
      </c>
      <c r="B158" s="63" t="s">
        <v>10</v>
      </c>
      <c r="C158" s="63" t="str">
        <f>[1]Composições!$I$114</f>
        <v>COMP08</v>
      </c>
      <c r="D158" s="65" t="str">
        <f>[1]Composições!$B$114</f>
        <v>REQUADRO DE PORTAS E JANELAS</v>
      </c>
      <c r="E158" s="66" t="s">
        <v>116</v>
      </c>
      <c r="F158" s="64">
        <v>1.5</v>
      </c>
      <c r="G158" s="325"/>
      <c r="H158" s="325">
        <f t="shared" si="21"/>
        <v>0</v>
      </c>
      <c r="I158" s="121">
        <f t="shared" si="20"/>
        <v>0</v>
      </c>
      <c r="J158" s="231" t="e">
        <f t="shared" si="17"/>
        <v>#DIV/0!</v>
      </c>
    </row>
    <row r="159" spans="1:11" s="100" customFormat="1" ht="41.25" customHeight="1" outlineLevel="1">
      <c r="A159" s="108" t="s">
        <v>541</v>
      </c>
      <c r="B159" s="63">
        <v>90844</v>
      </c>
      <c r="C159" s="63" t="s">
        <v>18</v>
      </c>
      <c r="D159" s="65" t="s">
        <v>392</v>
      </c>
      <c r="E159" s="66" t="s">
        <v>221</v>
      </c>
      <c r="F159" s="64">
        <v>1</v>
      </c>
      <c r="G159" s="325"/>
      <c r="H159" s="325">
        <f t="shared" si="21"/>
        <v>0</v>
      </c>
      <c r="I159" s="121">
        <f t="shared" si="20"/>
        <v>0</v>
      </c>
      <c r="J159" s="231" t="e">
        <f t="shared" si="17"/>
        <v>#DIV/0!</v>
      </c>
    </row>
    <row r="160" spans="1:11" s="100" customFormat="1" ht="15.95" customHeight="1" outlineLevel="1">
      <c r="A160" s="108" t="s">
        <v>542</v>
      </c>
      <c r="B160" s="5">
        <v>88495</v>
      </c>
      <c r="C160" s="5" t="s">
        <v>18</v>
      </c>
      <c r="D160" s="106" t="s">
        <v>393</v>
      </c>
      <c r="E160" s="66" t="s">
        <v>116</v>
      </c>
      <c r="F160" s="64">
        <v>45.73</v>
      </c>
      <c r="G160" s="116"/>
      <c r="H160" s="117">
        <f t="shared" si="21"/>
        <v>0</v>
      </c>
      <c r="I160" s="117">
        <f t="shared" si="20"/>
        <v>0</v>
      </c>
      <c r="J160" s="231" t="e">
        <f t="shared" si="17"/>
        <v>#DIV/0!</v>
      </c>
    </row>
    <row r="161" spans="1:11" s="100" customFormat="1" ht="15.95" customHeight="1" outlineLevel="1">
      <c r="A161" s="108" t="s">
        <v>1871</v>
      </c>
      <c r="B161" s="5">
        <v>88489</v>
      </c>
      <c r="C161" s="5" t="s">
        <v>18</v>
      </c>
      <c r="D161" s="106" t="s">
        <v>36</v>
      </c>
      <c r="E161" s="66" t="s">
        <v>116</v>
      </c>
      <c r="F161" s="64">
        <f>F160</f>
        <v>45.73</v>
      </c>
      <c r="G161" s="116"/>
      <c r="H161" s="117">
        <f t="shared" si="21"/>
        <v>0</v>
      </c>
      <c r="I161" s="117">
        <f t="shared" si="20"/>
        <v>0</v>
      </c>
      <c r="J161" s="231" t="e">
        <f t="shared" si="17"/>
        <v>#DIV/0!</v>
      </c>
    </row>
    <row r="162" spans="1:11" s="100" customFormat="1" ht="27" outlineLevel="1">
      <c r="A162" s="108" t="s">
        <v>1872</v>
      </c>
      <c r="B162" s="5">
        <v>102219</v>
      </c>
      <c r="C162" s="5" t="s">
        <v>18</v>
      </c>
      <c r="D162" s="122" t="s">
        <v>397</v>
      </c>
      <c r="E162" s="66" t="s">
        <v>116</v>
      </c>
      <c r="F162" s="64">
        <v>5.67</v>
      </c>
      <c r="G162" s="116"/>
      <c r="H162" s="117">
        <f t="shared" si="21"/>
        <v>0</v>
      </c>
      <c r="I162" s="117">
        <f t="shared" si="20"/>
        <v>0</v>
      </c>
      <c r="J162" s="231" t="e">
        <f t="shared" si="17"/>
        <v>#DIV/0!</v>
      </c>
    </row>
    <row r="163" spans="1:11" s="100" customFormat="1" outlineLevel="1">
      <c r="A163" s="108" t="s">
        <v>1873</v>
      </c>
      <c r="B163" s="5" t="s">
        <v>11</v>
      </c>
      <c r="C163" s="5" t="s">
        <v>9</v>
      </c>
      <c r="D163" s="122" t="s">
        <v>398</v>
      </c>
      <c r="E163" s="66" t="s">
        <v>116</v>
      </c>
      <c r="F163" s="64">
        <v>10.199999999999999</v>
      </c>
      <c r="G163" s="241" t="s">
        <v>10</v>
      </c>
      <c r="H163" s="121"/>
      <c r="I163" s="241">
        <f t="shared" si="20"/>
        <v>0</v>
      </c>
      <c r="J163" s="231" t="e">
        <f t="shared" si="17"/>
        <v>#DIV/0!</v>
      </c>
    </row>
    <row r="164" spans="1:11" s="100" customFormat="1" ht="15.75" customHeight="1" outlineLevel="1">
      <c r="A164" s="108" t="s">
        <v>1904</v>
      </c>
      <c r="B164" s="5" t="s">
        <v>10</v>
      </c>
      <c r="C164" s="5" t="str">
        <f>[1]Composições!$I$107</f>
        <v>COMP07</v>
      </c>
      <c r="D164" s="106" t="str">
        <f>[1]Composições!$B$107</f>
        <v>INSTALAÇÃO DE VENTILADOR</v>
      </c>
      <c r="E164" s="331" t="s">
        <v>221</v>
      </c>
      <c r="F164" s="64">
        <v>1</v>
      </c>
      <c r="G164" s="116"/>
      <c r="H164" s="325">
        <f>TRUNC((G164*(1+$I$12)),2)</f>
        <v>0</v>
      </c>
      <c r="I164" s="326">
        <f>ROUND((F164*H164),2)</f>
        <v>0</v>
      </c>
      <c r="J164" s="231" t="e">
        <f t="shared" si="17"/>
        <v>#DIV/0!</v>
      </c>
      <c r="K164" s="100">
        <f>((0.9*2.1)*3)</f>
        <v>5.67</v>
      </c>
    </row>
    <row r="165" spans="1:11" s="100" customFormat="1" ht="27" outlineLevel="1">
      <c r="A165" s="108" t="s">
        <v>2051</v>
      </c>
      <c r="B165" s="63">
        <v>89957</v>
      </c>
      <c r="C165" s="63" t="s">
        <v>18</v>
      </c>
      <c r="D165" s="65" t="s">
        <v>1082</v>
      </c>
      <c r="E165" s="66" t="s">
        <v>221</v>
      </c>
      <c r="F165" s="64">
        <v>1</v>
      </c>
      <c r="G165" s="116"/>
      <c r="H165" s="377">
        <f t="shared" ref="H165:H166" si="22">TRUNC((G165*(1+$I$12)),2)</f>
        <v>0</v>
      </c>
      <c r="I165" s="338">
        <f t="shared" ref="I165:I166" si="23">ROUND((F165*H165),2)</f>
        <v>0</v>
      </c>
      <c r="J165" s="231" t="e">
        <f t="shared" si="17"/>
        <v>#DIV/0!</v>
      </c>
    </row>
    <row r="166" spans="1:11" s="100" customFormat="1" ht="15.75" customHeight="1" outlineLevel="1">
      <c r="A166" s="108" t="s">
        <v>2052</v>
      </c>
      <c r="B166" s="128" t="s">
        <v>1185</v>
      </c>
      <c r="C166" s="128" t="s">
        <v>9</v>
      </c>
      <c r="D166" s="82" t="s">
        <v>1184</v>
      </c>
      <c r="E166" s="66" t="s">
        <v>221</v>
      </c>
      <c r="F166" s="64">
        <v>1</v>
      </c>
      <c r="G166" s="116"/>
      <c r="H166" s="377">
        <f t="shared" si="22"/>
        <v>0</v>
      </c>
      <c r="I166" s="338">
        <f t="shared" si="23"/>
        <v>0</v>
      </c>
      <c r="J166" s="231" t="e">
        <f t="shared" si="17"/>
        <v>#DIV/0!</v>
      </c>
    </row>
    <row r="167" spans="1:11" ht="15.95" customHeight="1">
      <c r="A167" s="395" t="s">
        <v>543</v>
      </c>
      <c r="B167" s="396"/>
      <c r="C167" s="396"/>
      <c r="D167" s="396"/>
      <c r="E167" s="396"/>
      <c r="F167" s="396"/>
      <c r="G167" s="396"/>
      <c r="H167" s="397"/>
      <c r="I167" s="176">
        <f>SUM(I144:I166)</f>
        <v>0</v>
      </c>
      <c r="J167" s="317" t="e">
        <f>SUM(J144:J166)</f>
        <v>#DIV/0!</v>
      </c>
      <c r="K167" s="318" t="e">
        <f>I167/$I$432</f>
        <v>#DIV/0!</v>
      </c>
    </row>
    <row r="168" spans="1:11" ht="15.95" customHeight="1">
      <c r="A168" s="61" t="s">
        <v>544</v>
      </c>
      <c r="B168" s="381"/>
      <c r="C168" s="381"/>
      <c r="D168" s="107" t="s">
        <v>545</v>
      </c>
      <c r="E168" s="382"/>
      <c r="F168" s="382"/>
      <c r="G168" s="382"/>
      <c r="H168" s="382"/>
      <c r="I168" s="382"/>
      <c r="J168" s="382"/>
    </row>
    <row r="169" spans="1:11" s="100" customFormat="1" ht="15.95" customHeight="1" outlineLevel="1">
      <c r="A169" s="108" t="s">
        <v>546</v>
      </c>
      <c r="B169" s="5">
        <v>97644</v>
      </c>
      <c r="C169" s="5" t="s">
        <v>18</v>
      </c>
      <c r="D169" s="106" t="s">
        <v>463</v>
      </c>
      <c r="E169" s="109" t="s">
        <v>116</v>
      </c>
      <c r="F169" s="64">
        <f>2.1*0.9</f>
        <v>1.8900000000000001</v>
      </c>
      <c r="G169" s="116"/>
      <c r="H169" s="241">
        <f>TRUNC((G169*(1+$I$12)),2)</f>
        <v>0</v>
      </c>
      <c r="I169" s="117">
        <f>ROUND((F169*H169),2)</f>
        <v>0</v>
      </c>
      <c r="J169" s="231" t="e">
        <f t="shared" ref="J169:J189" si="24">(I169/$I$1421)</f>
        <v>#DIV/0!</v>
      </c>
    </row>
    <row r="170" spans="1:11" s="100" customFormat="1" ht="27" outlineLevel="1">
      <c r="A170" s="108" t="s">
        <v>547</v>
      </c>
      <c r="B170" s="5">
        <v>97640</v>
      </c>
      <c r="C170" s="5" t="s">
        <v>18</v>
      </c>
      <c r="D170" s="106" t="s">
        <v>1797</v>
      </c>
      <c r="E170" s="109" t="s">
        <v>116</v>
      </c>
      <c r="F170" s="64">
        <v>17.98</v>
      </c>
      <c r="G170" s="116"/>
      <c r="H170" s="241">
        <f>TRUNC((G170*(1+$I$12)),2)</f>
        <v>0</v>
      </c>
      <c r="I170" s="117">
        <f t="shared" ref="I170:I188" si="25">ROUND((F170*H170),2)</f>
        <v>0</v>
      </c>
      <c r="J170" s="231" t="e">
        <f t="shared" si="24"/>
        <v>#DIV/0!</v>
      </c>
    </row>
    <row r="171" spans="1:11" s="100" customFormat="1" ht="27" outlineLevel="1">
      <c r="A171" s="108" t="s">
        <v>548</v>
      </c>
      <c r="B171" s="63">
        <v>97660</v>
      </c>
      <c r="C171" s="63" t="s">
        <v>18</v>
      </c>
      <c r="D171" s="65" t="s">
        <v>1798</v>
      </c>
      <c r="E171" s="66" t="s">
        <v>221</v>
      </c>
      <c r="F171" s="64">
        <v>5</v>
      </c>
      <c r="G171" s="325"/>
      <c r="H171" s="325">
        <f>TRUNC((G171*(1+$I$12)),2)</f>
        <v>0</v>
      </c>
      <c r="I171" s="117">
        <f t="shared" si="25"/>
        <v>0</v>
      </c>
      <c r="J171" s="231" t="e">
        <f t="shared" si="24"/>
        <v>#DIV/0!</v>
      </c>
    </row>
    <row r="172" spans="1:11" s="100" customFormat="1" ht="15.75" customHeight="1" outlineLevel="1">
      <c r="A172" s="108" t="s">
        <v>549</v>
      </c>
      <c r="B172" s="63">
        <v>97665</v>
      </c>
      <c r="C172" s="63" t="s">
        <v>18</v>
      </c>
      <c r="D172" s="65" t="s">
        <v>1799</v>
      </c>
      <c r="E172" s="66" t="s">
        <v>221</v>
      </c>
      <c r="F172" s="64">
        <v>2</v>
      </c>
      <c r="G172" s="325"/>
      <c r="H172" s="325">
        <f>TRUNC((G172*(1+$I$12)),2)</f>
        <v>0</v>
      </c>
      <c r="I172" s="117">
        <f t="shared" si="25"/>
        <v>0</v>
      </c>
      <c r="J172" s="231" t="e">
        <f t="shared" si="24"/>
        <v>#DIV/0!</v>
      </c>
    </row>
    <row r="173" spans="1:11" s="100" customFormat="1" ht="15.95" customHeight="1" outlineLevel="1">
      <c r="A173" s="108" t="s">
        <v>550</v>
      </c>
      <c r="B173" s="63" t="s">
        <v>126</v>
      </c>
      <c r="C173" s="63" t="s">
        <v>9</v>
      </c>
      <c r="D173" s="65" t="s">
        <v>386</v>
      </c>
      <c r="E173" s="66" t="s">
        <v>115</v>
      </c>
      <c r="F173" s="64">
        <v>16.45</v>
      </c>
      <c r="G173" s="325" t="s">
        <v>10</v>
      </c>
      <c r="H173" s="121"/>
      <c r="I173" s="117">
        <f t="shared" si="25"/>
        <v>0</v>
      </c>
      <c r="J173" s="231" t="e">
        <f t="shared" si="24"/>
        <v>#DIV/0!</v>
      </c>
    </row>
    <row r="174" spans="1:11" s="100" customFormat="1" ht="15.95" customHeight="1" outlineLevel="1">
      <c r="A174" s="108" t="s">
        <v>551</v>
      </c>
      <c r="B174" s="63" t="s">
        <v>120</v>
      </c>
      <c r="C174" s="63" t="s">
        <v>7</v>
      </c>
      <c r="D174" s="65" t="s">
        <v>121</v>
      </c>
      <c r="E174" s="66" t="s">
        <v>116</v>
      </c>
      <c r="F174" s="64">
        <v>18.12</v>
      </c>
      <c r="G174" s="325"/>
      <c r="H174" s="325">
        <f t="shared" ref="H174:H187" si="26">TRUNC((G174*(1+$I$12)),2)</f>
        <v>0</v>
      </c>
      <c r="I174" s="117">
        <f t="shared" si="25"/>
        <v>0</v>
      </c>
      <c r="J174" s="231" t="e">
        <f t="shared" si="24"/>
        <v>#DIV/0!</v>
      </c>
    </row>
    <row r="175" spans="1:11" s="100" customFormat="1" ht="40.5" outlineLevel="1">
      <c r="A175" s="108" t="s">
        <v>552</v>
      </c>
      <c r="B175" s="63">
        <v>100983</v>
      </c>
      <c r="C175" s="63" t="s">
        <v>18</v>
      </c>
      <c r="D175" s="65" t="s">
        <v>1896</v>
      </c>
      <c r="E175" s="86" t="s">
        <v>218</v>
      </c>
      <c r="F175" s="80">
        <f>(0.1+0.04+0.54+0.01+0.02+0.25+1.82+0.05)*1.3</f>
        <v>3.6790000000000003</v>
      </c>
      <c r="G175" s="124"/>
      <c r="H175" s="350">
        <f t="shared" si="26"/>
        <v>0</v>
      </c>
      <c r="I175" s="117">
        <f t="shared" si="25"/>
        <v>0</v>
      </c>
      <c r="J175" s="231" t="e">
        <f t="shared" si="24"/>
        <v>#DIV/0!</v>
      </c>
    </row>
    <row r="176" spans="1:11" s="100" customFormat="1" ht="27" outlineLevel="1">
      <c r="A176" s="108" t="s">
        <v>553</v>
      </c>
      <c r="B176" s="63">
        <v>95875</v>
      </c>
      <c r="C176" s="63" t="s">
        <v>18</v>
      </c>
      <c r="D176" s="65" t="s">
        <v>1898</v>
      </c>
      <c r="E176" s="86" t="s">
        <v>1897</v>
      </c>
      <c r="F176" s="80">
        <f>F175*4</f>
        <v>14.716000000000001</v>
      </c>
      <c r="G176" s="124"/>
      <c r="H176" s="350">
        <f t="shared" si="26"/>
        <v>0</v>
      </c>
      <c r="I176" s="117">
        <f t="shared" si="25"/>
        <v>0</v>
      </c>
      <c r="J176" s="231" t="e">
        <f t="shared" si="24"/>
        <v>#DIV/0!</v>
      </c>
    </row>
    <row r="177" spans="1:11" s="157" customFormat="1" ht="27" outlineLevel="1">
      <c r="A177" s="108" t="s">
        <v>554</v>
      </c>
      <c r="B177" s="63">
        <v>97084</v>
      </c>
      <c r="C177" s="63" t="s">
        <v>18</v>
      </c>
      <c r="D177" s="65" t="s">
        <v>791</v>
      </c>
      <c r="E177" s="68" t="s">
        <v>116</v>
      </c>
      <c r="F177" s="64">
        <v>18.12</v>
      </c>
      <c r="G177" s="350"/>
      <c r="H177" s="347">
        <f t="shared" si="26"/>
        <v>0</v>
      </c>
      <c r="I177" s="116">
        <f t="shared" si="25"/>
        <v>0</v>
      </c>
      <c r="J177" s="231" t="e">
        <f t="shared" si="24"/>
        <v>#DIV/0!</v>
      </c>
    </row>
    <row r="178" spans="1:11" s="100" customFormat="1" ht="27" outlineLevel="1">
      <c r="A178" s="108" t="s">
        <v>555</v>
      </c>
      <c r="B178" s="128">
        <v>96622</v>
      </c>
      <c r="C178" s="128" t="s">
        <v>18</v>
      </c>
      <c r="D178" s="82" t="s">
        <v>1895</v>
      </c>
      <c r="E178" s="88" t="s">
        <v>218</v>
      </c>
      <c r="F178" s="75">
        <f>F177*0.05</f>
        <v>0.90600000000000014</v>
      </c>
      <c r="G178" s="145"/>
      <c r="H178" s="347">
        <f>TRUNC((G178*(1+$I$12)),2)</f>
        <v>0</v>
      </c>
      <c r="I178" s="116">
        <f t="shared" si="25"/>
        <v>0</v>
      </c>
      <c r="J178" s="231" t="e">
        <f t="shared" si="24"/>
        <v>#DIV/0!</v>
      </c>
    </row>
    <row r="179" spans="1:11" s="100" customFormat="1" ht="27" outlineLevel="1">
      <c r="A179" s="108" t="s">
        <v>556</v>
      </c>
      <c r="B179" s="128">
        <v>95241</v>
      </c>
      <c r="C179" s="128" t="s">
        <v>18</v>
      </c>
      <c r="D179" s="82" t="s">
        <v>1894</v>
      </c>
      <c r="E179" s="88" t="s">
        <v>116</v>
      </c>
      <c r="F179" s="75">
        <f>F177</f>
        <v>18.12</v>
      </c>
      <c r="G179" s="145"/>
      <c r="H179" s="347">
        <f>TRUNC((G179*(1+$I$12)),2)</f>
        <v>0</v>
      </c>
      <c r="I179" s="116">
        <f t="shared" si="25"/>
        <v>0</v>
      </c>
      <c r="J179" s="231" t="e">
        <f t="shared" si="24"/>
        <v>#DIV/0!</v>
      </c>
    </row>
    <row r="180" spans="1:11" s="100" customFormat="1" ht="40.5" outlineLevel="1">
      <c r="A180" s="108" t="s">
        <v>557</v>
      </c>
      <c r="B180" s="63">
        <v>104162</v>
      </c>
      <c r="C180" s="63" t="s">
        <v>18</v>
      </c>
      <c r="D180" s="65" t="s">
        <v>387</v>
      </c>
      <c r="E180" s="66" t="s">
        <v>116</v>
      </c>
      <c r="F180" s="64">
        <v>18.12</v>
      </c>
      <c r="G180" s="325"/>
      <c r="H180" s="325">
        <f t="shared" si="26"/>
        <v>0</v>
      </c>
      <c r="I180" s="117">
        <f t="shared" si="25"/>
        <v>0</v>
      </c>
      <c r="J180" s="231" t="e">
        <f t="shared" si="24"/>
        <v>#DIV/0!</v>
      </c>
      <c r="K180" s="100">
        <f>((2*2.1*0.15)+(0.9*0.15))</f>
        <v>0.76500000000000001</v>
      </c>
    </row>
    <row r="181" spans="1:11" s="100" customFormat="1" ht="15.95" customHeight="1" outlineLevel="1">
      <c r="A181" s="108" t="s">
        <v>558</v>
      </c>
      <c r="B181" s="63">
        <v>101741</v>
      </c>
      <c r="C181" s="63" t="s">
        <v>18</v>
      </c>
      <c r="D181" s="65" t="s">
        <v>388</v>
      </c>
      <c r="E181" s="66" t="s">
        <v>115</v>
      </c>
      <c r="F181" s="64">
        <v>32.200000000000003</v>
      </c>
      <c r="G181" s="325"/>
      <c r="H181" s="325">
        <f t="shared" si="26"/>
        <v>0</v>
      </c>
      <c r="I181" s="117">
        <f t="shared" si="25"/>
        <v>0</v>
      </c>
      <c r="J181" s="231" t="e">
        <f t="shared" si="24"/>
        <v>#DIV/0!</v>
      </c>
      <c r="K181" s="100">
        <f>(((13.75*2.76))-((0.9*2.1)+(3.4*1.5)))</f>
        <v>30.959999999999994</v>
      </c>
    </row>
    <row r="182" spans="1:11" s="100" customFormat="1" outlineLevel="1">
      <c r="A182" s="108" t="s">
        <v>559</v>
      </c>
      <c r="B182" s="63">
        <v>96114</v>
      </c>
      <c r="C182" s="63" t="s">
        <v>18</v>
      </c>
      <c r="D182" s="65" t="s">
        <v>390</v>
      </c>
      <c r="E182" s="66" t="s">
        <v>116</v>
      </c>
      <c r="F182" s="64">
        <v>17.98</v>
      </c>
      <c r="G182" s="325"/>
      <c r="H182" s="325">
        <f t="shared" si="26"/>
        <v>0</v>
      </c>
      <c r="I182" s="117">
        <f t="shared" si="25"/>
        <v>0</v>
      </c>
      <c r="J182" s="231" t="e">
        <f t="shared" si="24"/>
        <v>#DIV/0!</v>
      </c>
    </row>
    <row r="183" spans="1:11" s="100" customFormat="1" outlineLevel="1">
      <c r="A183" s="108" t="s">
        <v>560</v>
      </c>
      <c r="B183" s="63" t="s">
        <v>10</v>
      </c>
      <c r="C183" s="63" t="str">
        <f>[1]Composições!$I$114</f>
        <v>COMP08</v>
      </c>
      <c r="D183" s="65" t="str">
        <f>[1]Composições!$B$114</f>
        <v>REQUADRO DE PORTAS E JANELAS</v>
      </c>
      <c r="E183" s="66" t="s">
        <v>116</v>
      </c>
      <c r="F183" s="64">
        <v>0.77</v>
      </c>
      <c r="G183" s="325"/>
      <c r="H183" s="325">
        <f t="shared" si="26"/>
        <v>0</v>
      </c>
      <c r="I183" s="117">
        <f t="shared" si="25"/>
        <v>0</v>
      </c>
      <c r="J183" s="231" t="e">
        <f t="shared" si="24"/>
        <v>#DIV/0!</v>
      </c>
    </row>
    <row r="184" spans="1:11" s="100" customFormat="1" ht="40.5" outlineLevel="1">
      <c r="A184" s="108" t="s">
        <v>561</v>
      </c>
      <c r="B184" s="63">
        <v>90844</v>
      </c>
      <c r="C184" s="63" t="s">
        <v>18</v>
      </c>
      <c r="D184" s="65" t="s">
        <v>392</v>
      </c>
      <c r="E184" s="66" t="s">
        <v>221</v>
      </c>
      <c r="F184" s="64">
        <v>1</v>
      </c>
      <c r="G184" s="325"/>
      <c r="H184" s="325">
        <f t="shared" si="26"/>
        <v>0</v>
      </c>
      <c r="I184" s="117">
        <f t="shared" si="25"/>
        <v>0</v>
      </c>
      <c r="J184" s="231" t="e">
        <f t="shared" si="24"/>
        <v>#DIV/0!</v>
      </c>
      <c r="K184" s="100">
        <f>((3.4*1.5)+(1.6*0.45))</f>
        <v>5.8199999999999994</v>
      </c>
    </row>
    <row r="185" spans="1:11" s="100" customFormat="1" outlineLevel="1">
      <c r="A185" s="108" t="s">
        <v>562</v>
      </c>
      <c r="B185" s="5">
        <v>88495</v>
      </c>
      <c r="C185" s="5" t="s">
        <v>18</v>
      </c>
      <c r="D185" s="106" t="s">
        <v>393</v>
      </c>
      <c r="E185" s="66" t="s">
        <v>116</v>
      </c>
      <c r="F185" s="64">
        <v>40.18</v>
      </c>
      <c r="G185" s="116"/>
      <c r="H185" s="117">
        <f t="shared" si="26"/>
        <v>0</v>
      </c>
      <c r="I185" s="117">
        <f t="shared" si="25"/>
        <v>0</v>
      </c>
      <c r="J185" s="231" t="e">
        <f t="shared" si="24"/>
        <v>#DIV/0!</v>
      </c>
    </row>
    <row r="186" spans="1:11" s="100" customFormat="1" outlineLevel="1">
      <c r="A186" s="108" t="s">
        <v>1874</v>
      </c>
      <c r="B186" s="5">
        <v>88489</v>
      </c>
      <c r="C186" s="5" t="s">
        <v>18</v>
      </c>
      <c r="D186" s="106" t="s">
        <v>36</v>
      </c>
      <c r="E186" s="66" t="s">
        <v>116</v>
      </c>
      <c r="F186" s="64">
        <f>F185</f>
        <v>40.18</v>
      </c>
      <c r="G186" s="116"/>
      <c r="H186" s="117">
        <f t="shared" si="26"/>
        <v>0</v>
      </c>
      <c r="I186" s="117">
        <f t="shared" si="25"/>
        <v>0</v>
      </c>
      <c r="J186" s="231" t="e">
        <f t="shared" si="24"/>
        <v>#DIV/0!</v>
      </c>
    </row>
    <row r="187" spans="1:11" s="100" customFormat="1" ht="27" outlineLevel="1">
      <c r="A187" s="108" t="s">
        <v>1875</v>
      </c>
      <c r="B187" s="5">
        <v>102219</v>
      </c>
      <c r="C187" s="5" t="s">
        <v>18</v>
      </c>
      <c r="D187" s="122" t="s">
        <v>397</v>
      </c>
      <c r="E187" s="66" t="s">
        <v>116</v>
      </c>
      <c r="F187" s="64">
        <v>5.67</v>
      </c>
      <c r="G187" s="116"/>
      <c r="H187" s="117">
        <f t="shared" si="26"/>
        <v>0</v>
      </c>
      <c r="I187" s="117">
        <f t="shared" si="25"/>
        <v>0</v>
      </c>
      <c r="J187" s="231" t="e">
        <f t="shared" si="24"/>
        <v>#DIV/0!</v>
      </c>
    </row>
    <row r="188" spans="1:11" s="100" customFormat="1" outlineLevel="1">
      <c r="A188" s="108" t="s">
        <v>1876</v>
      </c>
      <c r="B188" s="5" t="s">
        <v>11</v>
      </c>
      <c r="C188" s="5" t="s">
        <v>9</v>
      </c>
      <c r="D188" s="122" t="s">
        <v>398</v>
      </c>
      <c r="E188" s="66" t="s">
        <v>116</v>
      </c>
      <c r="F188" s="64">
        <v>5.82</v>
      </c>
      <c r="G188" s="241" t="s">
        <v>10</v>
      </c>
      <c r="H188" s="121"/>
      <c r="I188" s="117">
        <f t="shared" si="25"/>
        <v>0</v>
      </c>
      <c r="J188" s="231" t="e">
        <f t="shared" si="24"/>
        <v>#DIV/0!</v>
      </c>
    </row>
    <row r="189" spans="1:11" s="100" customFormat="1" ht="15.95" customHeight="1" outlineLevel="1">
      <c r="A189" s="108" t="s">
        <v>1905</v>
      </c>
      <c r="B189" s="5" t="s">
        <v>10</v>
      </c>
      <c r="C189" s="5" t="str">
        <f>[1]Composições!$I$107</f>
        <v>COMP07</v>
      </c>
      <c r="D189" s="106" t="str">
        <f>[1]Composições!$B$107</f>
        <v>INSTALAÇÃO DE VENTILADOR</v>
      </c>
      <c r="E189" s="331" t="s">
        <v>221</v>
      </c>
      <c r="F189" s="64">
        <v>1</v>
      </c>
      <c r="G189" s="116"/>
      <c r="H189" s="325">
        <f>TRUNC((G189*(1+$I$12)),2)</f>
        <v>0</v>
      </c>
      <c r="I189" s="117">
        <f>ROUND((F189*H189),2)</f>
        <v>0</v>
      </c>
      <c r="J189" s="231" t="e">
        <f t="shared" si="24"/>
        <v>#DIV/0!</v>
      </c>
    </row>
    <row r="190" spans="1:11" ht="15.95" customHeight="1">
      <c r="A190" s="395" t="s">
        <v>563</v>
      </c>
      <c r="B190" s="396"/>
      <c r="C190" s="396"/>
      <c r="D190" s="396"/>
      <c r="E190" s="396"/>
      <c r="F190" s="396"/>
      <c r="G190" s="396"/>
      <c r="H190" s="397"/>
      <c r="I190" s="176">
        <f>SUM(I169:I189)</f>
        <v>0</v>
      </c>
      <c r="J190" s="317" t="e">
        <f>SUM(J169:J189)</f>
        <v>#DIV/0!</v>
      </c>
      <c r="K190" s="318" t="e">
        <f>I190/$I$432</f>
        <v>#DIV/0!</v>
      </c>
    </row>
    <row r="191" spans="1:11" ht="15.95" customHeight="1">
      <c r="A191" s="61" t="s">
        <v>564</v>
      </c>
      <c r="B191" s="381"/>
      <c r="C191" s="381"/>
      <c r="D191" s="107" t="s">
        <v>147</v>
      </c>
      <c r="E191" s="382"/>
      <c r="F191" s="382"/>
      <c r="G191" s="382"/>
      <c r="H191" s="382"/>
      <c r="I191" s="382"/>
      <c r="J191" s="382"/>
    </row>
    <row r="192" spans="1:11" s="100" customFormat="1" ht="15.95" customHeight="1" outlineLevel="1">
      <c r="A192" s="108" t="s">
        <v>565</v>
      </c>
      <c r="B192" s="5">
        <v>97644</v>
      </c>
      <c r="C192" s="5" t="s">
        <v>18</v>
      </c>
      <c r="D192" s="106" t="s">
        <v>463</v>
      </c>
      <c r="E192" s="109" t="s">
        <v>116</v>
      </c>
      <c r="F192" s="64">
        <f>2.1*0.9</f>
        <v>1.8900000000000001</v>
      </c>
      <c r="G192" s="116"/>
      <c r="H192" s="241">
        <f t="shared" ref="H192:H196" si="27">TRUNC((G192*(1+$I$12)),2)</f>
        <v>0</v>
      </c>
      <c r="I192" s="116">
        <f>ROUND((F192*H192),2)</f>
        <v>0</v>
      </c>
      <c r="J192" s="231" t="e">
        <f t="shared" ref="J192:J219" si="28">(I192/$I$1421)</f>
        <v>#DIV/0!</v>
      </c>
    </row>
    <row r="193" spans="1:11" s="100" customFormat="1" ht="27" outlineLevel="1">
      <c r="A193" s="108" t="s">
        <v>566</v>
      </c>
      <c r="B193" s="5">
        <v>97640</v>
      </c>
      <c r="C193" s="5" t="s">
        <v>18</v>
      </c>
      <c r="D193" s="106" t="s">
        <v>1797</v>
      </c>
      <c r="E193" s="109" t="s">
        <v>116</v>
      </c>
      <c r="F193" s="64">
        <v>49.35</v>
      </c>
      <c r="G193" s="116"/>
      <c r="H193" s="241">
        <f t="shared" si="27"/>
        <v>0</v>
      </c>
      <c r="I193" s="116">
        <f t="shared" ref="I193:I218" si="29">ROUND((F193*H193),2)</f>
        <v>0</v>
      </c>
      <c r="J193" s="231" t="e">
        <f t="shared" si="28"/>
        <v>#DIV/0!</v>
      </c>
    </row>
    <row r="194" spans="1:11" s="100" customFormat="1" ht="15.95" customHeight="1" outlineLevel="1">
      <c r="A194" s="108" t="s">
        <v>567</v>
      </c>
      <c r="B194" s="63" t="s">
        <v>135</v>
      </c>
      <c r="C194" s="63" t="s">
        <v>7</v>
      </c>
      <c r="D194" s="65" t="s">
        <v>383</v>
      </c>
      <c r="E194" s="66" t="s">
        <v>115</v>
      </c>
      <c r="F194" s="64">
        <v>54.45</v>
      </c>
      <c r="G194" s="241"/>
      <c r="H194" s="241">
        <f t="shared" si="27"/>
        <v>0</v>
      </c>
      <c r="I194" s="116">
        <f t="shared" si="29"/>
        <v>0</v>
      </c>
      <c r="J194" s="231" t="e">
        <f t="shared" si="28"/>
        <v>#DIV/0!</v>
      </c>
    </row>
    <row r="195" spans="1:11" s="100" customFormat="1" ht="27" outlineLevel="1">
      <c r="A195" s="108" t="s">
        <v>568</v>
      </c>
      <c r="B195" s="63">
        <v>97660</v>
      </c>
      <c r="C195" s="63" t="s">
        <v>18</v>
      </c>
      <c r="D195" s="65" t="s">
        <v>1798</v>
      </c>
      <c r="E195" s="66" t="s">
        <v>221</v>
      </c>
      <c r="F195" s="64">
        <v>3</v>
      </c>
      <c r="G195" s="241"/>
      <c r="H195" s="241">
        <f t="shared" si="27"/>
        <v>0</v>
      </c>
      <c r="I195" s="116">
        <f t="shared" si="29"/>
        <v>0</v>
      </c>
      <c r="J195" s="231" t="e">
        <f t="shared" si="28"/>
        <v>#DIV/0!</v>
      </c>
    </row>
    <row r="196" spans="1:11" s="100" customFormat="1" ht="15.75" customHeight="1" outlineLevel="1">
      <c r="A196" s="108" t="s">
        <v>569</v>
      </c>
      <c r="B196" s="63">
        <v>97665</v>
      </c>
      <c r="C196" s="63" t="s">
        <v>18</v>
      </c>
      <c r="D196" s="65" t="s">
        <v>1799</v>
      </c>
      <c r="E196" s="66" t="s">
        <v>221</v>
      </c>
      <c r="F196" s="64">
        <v>4</v>
      </c>
      <c r="G196" s="241"/>
      <c r="H196" s="241">
        <f t="shared" si="27"/>
        <v>0</v>
      </c>
      <c r="I196" s="116">
        <f t="shared" si="29"/>
        <v>0</v>
      </c>
      <c r="J196" s="231" t="e">
        <f t="shared" si="28"/>
        <v>#DIV/0!</v>
      </c>
    </row>
    <row r="197" spans="1:11" s="100" customFormat="1" ht="15.95" customHeight="1" outlineLevel="1">
      <c r="A197" s="108" t="s">
        <v>570</v>
      </c>
      <c r="B197" s="63" t="s">
        <v>126</v>
      </c>
      <c r="C197" s="63" t="s">
        <v>9</v>
      </c>
      <c r="D197" s="65" t="s">
        <v>386</v>
      </c>
      <c r="E197" s="66" t="s">
        <v>115</v>
      </c>
      <c r="F197" s="64">
        <v>27.2</v>
      </c>
      <c r="G197" s="241" t="s">
        <v>10</v>
      </c>
      <c r="H197" s="121"/>
      <c r="I197" s="116">
        <f t="shared" si="29"/>
        <v>0</v>
      </c>
      <c r="J197" s="231" t="e">
        <f t="shared" si="28"/>
        <v>#DIV/0!</v>
      </c>
    </row>
    <row r="198" spans="1:11" s="100" customFormat="1" ht="15.95" customHeight="1" outlineLevel="1">
      <c r="A198" s="108" t="s">
        <v>571</v>
      </c>
      <c r="B198" s="63" t="s">
        <v>125</v>
      </c>
      <c r="C198" s="63" t="s">
        <v>7</v>
      </c>
      <c r="D198" s="65" t="s">
        <v>592</v>
      </c>
      <c r="E198" s="109" t="s">
        <v>116</v>
      </c>
      <c r="F198" s="64">
        <v>6.89</v>
      </c>
      <c r="G198" s="241"/>
      <c r="H198" s="241">
        <f>TRUNC((G198*(1+$I$12)),2)</f>
        <v>0</v>
      </c>
      <c r="I198" s="116">
        <f t="shared" si="29"/>
        <v>0</v>
      </c>
      <c r="J198" s="231" t="e">
        <f t="shared" si="28"/>
        <v>#DIV/0!</v>
      </c>
    </row>
    <row r="199" spans="1:11" s="100" customFormat="1" ht="15.95" customHeight="1" outlineLevel="1">
      <c r="A199" s="108" t="s">
        <v>572</v>
      </c>
      <c r="B199" s="103" t="s">
        <v>32</v>
      </c>
      <c r="C199" s="103" t="s">
        <v>9</v>
      </c>
      <c r="D199" s="85" t="s">
        <v>598</v>
      </c>
      <c r="E199" s="134" t="s">
        <v>218</v>
      </c>
      <c r="F199" s="80">
        <f>49.49*0.1</f>
        <v>4.9490000000000007</v>
      </c>
      <c r="G199" s="124" t="s">
        <v>10</v>
      </c>
      <c r="H199" s="124"/>
      <c r="I199" s="116">
        <f t="shared" si="29"/>
        <v>0</v>
      </c>
      <c r="J199" s="231" t="e">
        <f t="shared" si="28"/>
        <v>#DIV/0!</v>
      </c>
    </row>
    <row r="200" spans="1:11" s="100" customFormat="1" ht="28.5" customHeight="1" outlineLevel="1">
      <c r="A200" s="108" t="s">
        <v>573</v>
      </c>
      <c r="B200" s="63">
        <v>100983</v>
      </c>
      <c r="C200" s="63" t="s">
        <v>18</v>
      </c>
      <c r="D200" s="65" t="s">
        <v>1896</v>
      </c>
      <c r="E200" s="86" t="s">
        <v>218</v>
      </c>
      <c r="F200" s="80">
        <f>(0.1+0.04+1.48+0.01+0.35+0.5+0.5+0.08+4.95+0.5)*1.3</f>
        <v>11.063000000000001</v>
      </c>
      <c r="G200" s="124"/>
      <c r="H200" s="350">
        <f t="shared" ref="H200:H202" si="30">TRUNC((G200*(1+$I$12)),2)</f>
        <v>0</v>
      </c>
      <c r="I200" s="117">
        <f t="shared" si="29"/>
        <v>0</v>
      </c>
      <c r="J200" s="231" t="e">
        <f t="shared" si="28"/>
        <v>#DIV/0!</v>
      </c>
    </row>
    <row r="201" spans="1:11" s="100" customFormat="1" ht="27" outlineLevel="1">
      <c r="A201" s="108" t="s">
        <v>574</v>
      </c>
      <c r="B201" s="63">
        <v>95875</v>
      </c>
      <c r="C201" s="63" t="s">
        <v>18</v>
      </c>
      <c r="D201" s="65" t="s">
        <v>1898</v>
      </c>
      <c r="E201" s="86" t="s">
        <v>1897</v>
      </c>
      <c r="F201" s="80">
        <f>F200*4</f>
        <v>44.252000000000002</v>
      </c>
      <c r="G201" s="124"/>
      <c r="H201" s="350">
        <f t="shared" si="30"/>
        <v>0</v>
      </c>
      <c r="I201" s="117">
        <f t="shared" si="29"/>
        <v>0</v>
      </c>
      <c r="J201" s="231" t="e">
        <f t="shared" si="28"/>
        <v>#DIV/0!</v>
      </c>
    </row>
    <row r="202" spans="1:11" s="157" customFormat="1" ht="27" outlineLevel="1">
      <c r="A202" s="108" t="s">
        <v>575</v>
      </c>
      <c r="B202" s="63">
        <v>97084</v>
      </c>
      <c r="C202" s="63" t="s">
        <v>18</v>
      </c>
      <c r="D202" s="65" t="s">
        <v>791</v>
      </c>
      <c r="E202" s="68" t="s">
        <v>116</v>
      </c>
      <c r="F202" s="64">
        <v>49.49</v>
      </c>
      <c r="G202" s="350"/>
      <c r="H202" s="241">
        <f t="shared" si="30"/>
        <v>0</v>
      </c>
      <c r="I202" s="116">
        <f t="shared" si="29"/>
        <v>0</v>
      </c>
      <c r="J202" s="231" t="e">
        <f t="shared" si="28"/>
        <v>#DIV/0!</v>
      </c>
    </row>
    <row r="203" spans="1:11" s="100" customFormat="1" ht="27" outlineLevel="1">
      <c r="A203" s="108" t="s">
        <v>576</v>
      </c>
      <c r="B203" s="128">
        <v>96622</v>
      </c>
      <c r="C203" s="128" t="s">
        <v>18</v>
      </c>
      <c r="D203" s="82" t="s">
        <v>1895</v>
      </c>
      <c r="E203" s="88" t="s">
        <v>218</v>
      </c>
      <c r="F203" s="75">
        <f>F202*0.05</f>
        <v>2.4745000000000004</v>
      </c>
      <c r="G203" s="145"/>
      <c r="H203" s="241">
        <f>TRUNC((G203*(1+$I$12)),2)</f>
        <v>0</v>
      </c>
      <c r="I203" s="116">
        <f t="shared" si="29"/>
        <v>0</v>
      </c>
      <c r="J203" s="231" t="e">
        <f t="shared" si="28"/>
        <v>#DIV/0!</v>
      </c>
    </row>
    <row r="204" spans="1:11" s="100" customFormat="1" ht="27" outlineLevel="1">
      <c r="A204" s="108" t="s">
        <v>577</v>
      </c>
      <c r="B204" s="128">
        <v>95241</v>
      </c>
      <c r="C204" s="128" t="s">
        <v>18</v>
      </c>
      <c r="D204" s="82" t="s">
        <v>1894</v>
      </c>
      <c r="E204" s="88" t="s">
        <v>116</v>
      </c>
      <c r="F204" s="75">
        <f>F202</f>
        <v>49.49</v>
      </c>
      <c r="G204" s="145"/>
      <c r="H204" s="241">
        <f>TRUNC((G204*(1+$I$12)),2)</f>
        <v>0</v>
      </c>
      <c r="I204" s="116">
        <f t="shared" si="29"/>
        <v>0</v>
      </c>
      <c r="J204" s="231" t="e">
        <f t="shared" si="28"/>
        <v>#DIV/0!</v>
      </c>
    </row>
    <row r="205" spans="1:11" s="100" customFormat="1" ht="40.5" outlineLevel="1">
      <c r="A205" s="108" t="s">
        <v>578</v>
      </c>
      <c r="B205" s="128">
        <v>104162</v>
      </c>
      <c r="C205" s="128" t="s">
        <v>18</v>
      </c>
      <c r="D205" s="82" t="s">
        <v>387</v>
      </c>
      <c r="E205" s="83" t="s">
        <v>116</v>
      </c>
      <c r="F205" s="75">
        <v>49.49</v>
      </c>
      <c r="G205" s="325"/>
      <c r="H205" s="325">
        <f t="shared" ref="H205:H218" si="31">TRUNC((G205*(1+$I$12)),2)</f>
        <v>0</v>
      </c>
      <c r="I205" s="116">
        <f t="shared" si="29"/>
        <v>0</v>
      </c>
      <c r="J205" s="231" t="e">
        <f t="shared" si="28"/>
        <v>#DIV/0!</v>
      </c>
      <c r="K205" s="100">
        <f>((2*2.1*0.15)+(0.9*0.15))</f>
        <v>0.76500000000000001</v>
      </c>
    </row>
    <row r="206" spans="1:11" s="100" customFormat="1" ht="15.95" customHeight="1" outlineLevel="1">
      <c r="A206" s="108" t="s">
        <v>579</v>
      </c>
      <c r="B206" s="63">
        <v>101741</v>
      </c>
      <c r="C206" s="63" t="s">
        <v>18</v>
      </c>
      <c r="D206" s="65" t="s">
        <v>388</v>
      </c>
      <c r="E206" s="66" t="s">
        <v>115</v>
      </c>
      <c r="F206" s="64">
        <v>27.2</v>
      </c>
      <c r="G206" s="241"/>
      <c r="H206" s="241">
        <f t="shared" si="31"/>
        <v>0</v>
      </c>
      <c r="I206" s="116">
        <f t="shared" si="29"/>
        <v>0</v>
      </c>
      <c r="J206" s="231" t="e">
        <f t="shared" si="28"/>
        <v>#DIV/0!</v>
      </c>
      <c r="K206" s="100">
        <f>(((13.75*2.76))-((0.9*2.1)+(3.4*1.5)))</f>
        <v>30.959999999999994</v>
      </c>
    </row>
    <row r="207" spans="1:11" s="100" customFormat="1" ht="27" outlineLevel="1">
      <c r="A207" s="108" t="s">
        <v>580</v>
      </c>
      <c r="B207" s="63">
        <v>96116</v>
      </c>
      <c r="C207" s="63" t="s">
        <v>18</v>
      </c>
      <c r="D207" s="65" t="s">
        <v>593</v>
      </c>
      <c r="E207" s="66" t="s">
        <v>116</v>
      </c>
      <c r="F207" s="64">
        <v>49.35</v>
      </c>
      <c r="G207" s="241"/>
      <c r="H207" s="241">
        <f t="shared" si="31"/>
        <v>0</v>
      </c>
      <c r="I207" s="116">
        <f t="shared" si="29"/>
        <v>0</v>
      </c>
      <c r="J207" s="231" t="e">
        <f t="shared" si="28"/>
        <v>#DIV/0!</v>
      </c>
    </row>
    <row r="208" spans="1:11" s="100" customFormat="1" ht="19.5" customHeight="1" outlineLevel="1">
      <c r="A208" s="108" t="s">
        <v>581</v>
      </c>
      <c r="B208" s="63" t="s">
        <v>10</v>
      </c>
      <c r="C208" s="63" t="str">
        <f>[1]Composições!$I$114</f>
        <v>COMP08</v>
      </c>
      <c r="D208" s="65" t="str">
        <f>[1]Composições!$B$114</f>
        <v>REQUADRO DE PORTAS E JANELAS</v>
      </c>
      <c r="E208" s="66" t="s">
        <v>116</v>
      </c>
      <c r="F208" s="64">
        <v>0.77</v>
      </c>
      <c r="G208" s="329"/>
      <c r="H208" s="329">
        <f t="shared" si="31"/>
        <v>0</v>
      </c>
      <c r="I208" s="116">
        <f t="shared" si="29"/>
        <v>0</v>
      </c>
      <c r="J208" s="231" t="e">
        <f t="shared" si="28"/>
        <v>#DIV/0!</v>
      </c>
    </row>
    <row r="209" spans="1:12" s="100" customFormat="1" ht="40.5" outlineLevel="1">
      <c r="A209" s="108" t="s">
        <v>582</v>
      </c>
      <c r="B209" s="63">
        <v>90844</v>
      </c>
      <c r="C209" s="63" t="s">
        <v>18</v>
      </c>
      <c r="D209" s="65" t="s">
        <v>392</v>
      </c>
      <c r="E209" s="66" t="s">
        <v>221</v>
      </c>
      <c r="F209" s="64">
        <v>1</v>
      </c>
      <c r="G209" s="241"/>
      <c r="H209" s="241">
        <f t="shared" si="31"/>
        <v>0</v>
      </c>
      <c r="I209" s="116">
        <f t="shared" si="29"/>
        <v>0</v>
      </c>
      <c r="J209" s="231" t="e">
        <f t="shared" si="28"/>
        <v>#DIV/0!</v>
      </c>
      <c r="K209" s="100">
        <f>((28.1*1)-(0.9*1))</f>
        <v>27.200000000000003</v>
      </c>
    </row>
    <row r="210" spans="1:12" s="100" customFormat="1" ht="15.95" customHeight="1" outlineLevel="1">
      <c r="A210" s="108" t="s">
        <v>583</v>
      </c>
      <c r="B210" s="5">
        <v>88495</v>
      </c>
      <c r="C210" s="5" t="s">
        <v>18</v>
      </c>
      <c r="D210" s="106" t="s">
        <v>393</v>
      </c>
      <c r="E210" s="66" t="s">
        <v>116</v>
      </c>
      <c r="F210" s="64">
        <v>36.58</v>
      </c>
      <c r="G210" s="116"/>
      <c r="H210" s="117">
        <f t="shared" si="31"/>
        <v>0</v>
      </c>
      <c r="I210" s="116">
        <f t="shared" si="29"/>
        <v>0</v>
      </c>
      <c r="J210" s="231" t="e">
        <f t="shared" si="28"/>
        <v>#DIV/0!</v>
      </c>
    </row>
    <row r="211" spans="1:12" s="100" customFormat="1" outlineLevel="1">
      <c r="A211" s="108" t="s">
        <v>584</v>
      </c>
      <c r="B211" s="5">
        <v>88489</v>
      </c>
      <c r="C211" s="5" t="s">
        <v>18</v>
      </c>
      <c r="D211" s="106" t="s">
        <v>36</v>
      </c>
      <c r="E211" s="66" t="s">
        <v>116</v>
      </c>
      <c r="F211" s="64">
        <v>36.58</v>
      </c>
      <c r="G211" s="116"/>
      <c r="H211" s="117">
        <f t="shared" si="31"/>
        <v>0</v>
      </c>
      <c r="I211" s="116">
        <f t="shared" si="29"/>
        <v>0</v>
      </c>
      <c r="J211" s="231" t="e">
        <f t="shared" si="28"/>
        <v>#DIV/0!</v>
      </c>
    </row>
    <row r="212" spans="1:12" s="100" customFormat="1" ht="15.95" customHeight="1" outlineLevel="1">
      <c r="A212" s="108" t="s">
        <v>585</v>
      </c>
      <c r="B212" s="5" t="s">
        <v>256</v>
      </c>
      <c r="C212" s="5" t="s">
        <v>7</v>
      </c>
      <c r="D212" s="106" t="s">
        <v>596</v>
      </c>
      <c r="E212" s="66" t="s">
        <v>116</v>
      </c>
      <c r="F212" s="64">
        <v>27.2</v>
      </c>
      <c r="G212" s="116"/>
      <c r="H212" s="117">
        <f t="shared" si="31"/>
        <v>0</v>
      </c>
      <c r="I212" s="116">
        <f t="shared" si="29"/>
        <v>0</v>
      </c>
      <c r="J212" s="231" t="e">
        <f t="shared" si="28"/>
        <v>#DIV/0!</v>
      </c>
      <c r="K212" s="135" t="e">
        <f>#REF!+I204+I205+I206+#REF!+#REF!</f>
        <v>#REF!</v>
      </c>
      <c r="L212" s="135"/>
    </row>
    <row r="213" spans="1:12" s="100" customFormat="1" ht="15.95" customHeight="1" outlineLevel="1">
      <c r="A213" s="108" t="s">
        <v>586</v>
      </c>
      <c r="B213" s="5" t="s">
        <v>595</v>
      </c>
      <c r="C213" s="5" t="s">
        <v>7</v>
      </c>
      <c r="D213" s="106" t="s">
        <v>594</v>
      </c>
      <c r="E213" s="66" t="s">
        <v>116</v>
      </c>
      <c r="F213" s="64">
        <v>6.89</v>
      </c>
      <c r="G213" s="241"/>
      <c r="H213" s="117">
        <f t="shared" ref="H213" si="32">TRUNC((G213*(1+$I$12)),2)</f>
        <v>0</v>
      </c>
      <c r="I213" s="116">
        <f t="shared" si="29"/>
        <v>0</v>
      </c>
      <c r="J213" s="231" t="e">
        <f t="shared" si="28"/>
        <v>#DIV/0!</v>
      </c>
      <c r="K213" s="135" t="e">
        <f>K212*10</f>
        <v>#REF!</v>
      </c>
      <c r="L213" s="135"/>
    </row>
    <row r="214" spans="1:12" s="100" customFormat="1" outlineLevel="1">
      <c r="A214" s="108" t="s">
        <v>587</v>
      </c>
      <c r="B214" s="5" t="s">
        <v>131</v>
      </c>
      <c r="C214" s="5" t="s">
        <v>9</v>
      </c>
      <c r="D214" s="122" t="s">
        <v>602</v>
      </c>
      <c r="E214" s="66" t="s">
        <v>115</v>
      </c>
      <c r="F214" s="64">
        <v>5.3</v>
      </c>
      <c r="G214" s="147" t="s">
        <v>10</v>
      </c>
      <c r="H214" s="117"/>
      <c r="I214" s="116">
        <f t="shared" si="29"/>
        <v>0</v>
      </c>
      <c r="J214" s="231" t="e">
        <f t="shared" si="28"/>
        <v>#DIV/0!</v>
      </c>
      <c r="K214" s="135"/>
      <c r="L214" s="135"/>
    </row>
    <row r="215" spans="1:12" s="100" customFormat="1" ht="27" outlineLevel="1">
      <c r="A215" s="108" t="s">
        <v>588</v>
      </c>
      <c r="B215" s="5">
        <v>102219</v>
      </c>
      <c r="C215" s="5" t="s">
        <v>18</v>
      </c>
      <c r="D215" s="122" t="s">
        <v>600</v>
      </c>
      <c r="E215" s="66" t="s">
        <v>116</v>
      </c>
      <c r="F215" s="64">
        <v>5.67</v>
      </c>
      <c r="G215" s="116"/>
      <c r="H215" s="117">
        <f t="shared" si="31"/>
        <v>0</v>
      </c>
      <c r="I215" s="116">
        <f t="shared" si="29"/>
        <v>0</v>
      </c>
      <c r="J215" s="231" t="e">
        <f t="shared" si="28"/>
        <v>#DIV/0!</v>
      </c>
    </row>
    <row r="216" spans="1:12" s="100" customFormat="1" ht="15.75" customHeight="1" outlineLevel="1">
      <c r="A216" s="108" t="s">
        <v>589</v>
      </c>
      <c r="B216" s="101" t="s">
        <v>11</v>
      </c>
      <c r="C216" s="101" t="s">
        <v>9</v>
      </c>
      <c r="D216" s="130" t="s">
        <v>398</v>
      </c>
      <c r="E216" s="86" t="s">
        <v>116</v>
      </c>
      <c r="F216" s="64">
        <v>12.51</v>
      </c>
      <c r="G216" s="241" t="s">
        <v>10</v>
      </c>
      <c r="H216" s="121"/>
      <c r="I216" s="116">
        <f t="shared" si="29"/>
        <v>0</v>
      </c>
      <c r="J216" s="231" t="e">
        <f t="shared" si="28"/>
        <v>#DIV/0!</v>
      </c>
    </row>
    <row r="217" spans="1:12" s="100" customFormat="1" ht="15.75" customHeight="1" outlineLevel="1">
      <c r="A217" s="108" t="s">
        <v>590</v>
      </c>
      <c r="B217" s="63" t="s">
        <v>597</v>
      </c>
      <c r="C217" s="63" t="s">
        <v>9</v>
      </c>
      <c r="D217" s="65" t="s">
        <v>601</v>
      </c>
      <c r="E217" s="66" t="s">
        <v>218</v>
      </c>
      <c r="F217" s="64">
        <v>0.19</v>
      </c>
      <c r="G217" s="241" t="s">
        <v>10</v>
      </c>
      <c r="H217" s="121"/>
      <c r="I217" s="116">
        <f t="shared" si="29"/>
        <v>0</v>
      </c>
      <c r="J217" s="231" t="e">
        <f t="shared" si="28"/>
        <v>#DIV/0!</v>
      </c>
    </row>
    <row r="218" spans="1:12" s="100" customFormat="1" ht="27" outlineLevel="1">
      <c r="A218" s="108" t="s">
        <v>893</v>
      </c>
      <c r="B218" s="63">
        <v>102219</v>
      </c>
      <c r="C218" s="63" t="s">
        <v>18</v>
      </c>
      <c r="D218" s="65" t="s">
        <v>599</v>
      </c>
      <c r="E218" s="66" t="s">
        <v>116</v>
      </c>
      <c r="F218" s="64">
        <f>F217/0.03</f>
        <v>6.3333333333333339</v>
      </c>
      <c r="G218" s="241"/>
      <c r="H218" s="121">
        <f t="shared" si="31"/>
        <v>0</v>
      </c>
      <c r="I218" s="116">
        <f t="shared" si="29"/>
        <v>0</v>
      </c>
      <c r="J218" s="231" t="e">
        <f t="shared" si="28"/>
        <v>#DIV/0!</v>
      </c>
    </row>
    <row r="219" spans="1:12" s="100" customFormat="1" ht="15.95" customHeight="1" outlineLevel="1">
      <c r="A219" s="108" t="s">
        <v>1906</v>
      </c>
      <c r="B219" s="5" t="s">
        <v>10</v>
      </c>
      <c r="C219" s="5" t="str">
        <f>[1]Composições!$I$107</f>
        <v>COMP07</v>
      </c>
      <c r="D219" s="106" t="str">
        <f>[1]Composições!$B$107</f>
        <v>INSTALAÇÃO DE VENTILADOR</v>
      </c>
      <c r="E219" s="331" t="s">
        <v>221</v>
      </c>
      <c r="F219" s="64">
        <v>2</v>
      </c>
      <c r="G219" s="116"/>
      <c r="H219" s="333">
        <f>TRUNC((G219*(1+$I$12)),2)</f>
        <v>0</v>
      </c>
      <c r="I219" s="116">
        <f>ROUND((F219*H219),2)</f>
        <v>0</v>
      </c>
      <c r="J219" s="231" t="e">
        <f t="shared" si="28"/>
        <v>#DIV/0!</v>
      </c>
    </row>
    <row r="220" spans="1:12" ht="15.95" customHeight="1">
      <c r="A220" s="395" t="s">
        <v>591</v>
      </c>
      <c r="B220" s="396"/>
      <c r="C220" s="396"/>
      <c r="D220" s="396"/>
      <c r="E220" s="396"/>
      <c r="F220" s="396"/>
      <c r="G220" s="396"/>
      <c r="H220" s="397"/>
      <c r="I220" s="178">
        <f>SUM(I192:I219)</f>
        <v>0</v>
      </c>
      <c r="J220" s="317" t="e">
        <f>SUM(J192:J219)</f>
        <v>#DIV/0!</v>
      </c>
      <c r="K220" s="318" t="e">
        <f>I220/$I$432</f>
        <v>#DIV/0!</v>
      </c>
    </row>
    <row r="221" spans="1:12" ht="15.95" customHeight="1">
      <c r="A221" s="61" t="s">
        <v>603</v>
      </c>
      <c r="B221" s="394"/>
      <c r="C221" s="394"/>
      <c r="D221" s="143" t="s">
        <v>148</v>
      </c>
      <c r="E221" s="394"/>
      <c r="F221" s="394"/>
      <c r="G221" s="394"/>
      <c r="H221" s="394"/>
      <c r="I221" s="394"/>
      <c r="J221" s="394"/>
    </row>
    <row r="222" spans="1:12" s="100" customFormat="1" ht="15.95" customHeight="1" outlineLevel="1">
      <c r="A222" s="63" t="s">
        <v>604</v>
      </c>
      <c r="B222" s="5">
        <v>97644</v>
      </c>
      <c r="C222" s="5" t="s">
        <v>18</v>
      </c>
      <c r="D222" s="106" t="s">
        <v>463</v>
      </c>
      <c r="E222" s="109" t="s">
        <v>116</v>
      </c>
      <c r="F222" s="64">
        <f>2.1*0.9</f>
        <v>1.8900000000000001</v>
      </c>
      <c r="G222" s="116"/>
      <c r="H222" s="241">
        <f t="shared" ref="H222:H226" si="33">TRUNC((G222*(1+$I$12)),2)</f>
        <v>0</v>
      </c>
      <c r="I222" s="117">
        <f>ROUND((F222*H222),2)</f>
        <v>0</v>
      </c>
      <c r="J222" s="240" t="e">
        <f t="shared" ref="J222:J249" si="34">(I222/$I$1421)</f>
        <v>#DIV/0!</v>
      </c>
    </row>
    <row r="223" spans="1:12" s="100" customFormat="1" ht="27" outlineLevel="1">
      <c r="A223" s="63" t="s">
        <v>605</v>
      </c>
      <c r="B223" s="5">
        <v>97640</v>
      </c>
      <c r="C223" s="5" t="s">
        <v>18</v>
      </c>
      <c r="D223" s="106" t="s">
        <v>1797</v>
      </c>
      <c r="E223" s="109" t="s">
        <v>116</v>
      </c>
      <c r="F223" s="64">
        <v>49.35</v>
      </c>
      <c r="G223" s="241"/>
      <c r="H223" s="241">
        <f t="shared" si="33"/>
        <v>0</v>
      </c>
      <c r="I223" s="117">
        <f t="shared" ref="I223:I248" si="35">ROUND((F223*H223),2)</f>
        <v>0</v>
      </c>
      <c r="J223" s="240" t="e">
        <f t="shared" si="34"/>
        <v>#DIV/0!</v>
      </c>
    </row>
    <row r="224" spans="1:12" s="100" customFormat="1" ht="15.95" customHeight="1" outlineLevel="1">
      <c r="A224" s="63" t="s">
        <v>607</v>
      </c>
      <c r="B224" s="63" t="s">
        <v>135</v>
      </c>
      <c r="C224" s="63" t="s">
        <v>7</v>
      </c>
      <c r="D224" s="65" t="s">
        <v>383</v>
      </c>
      <c r="E224" s="66" t="s">
        <v>115</v>
      </c>
      <c r="F224" s="64">
        <v>54.45</v>
      </c>
      <c r="G224" s="329"/>
      <c r="H224" s="329">
        <f t="shared" si="33"/>
        <v>0</v>
      </c>
      <c r="I224" s="117">
        <f t="shared" si="35"/>
        <v>0</v>
      </c>
      <c r="J224" s="328" t="e">
        <f t="shared" si="34"/>
        <v>#DIV/0!</v>
      </c>
    </row>
    <row r="225" spans="1:11" s="100" customFormat="1" ht="27" outlineLevel="1">
      <c r="A225" s="63" t="s">
        <v>608</v>
      </c>
      <c r="B225" s="63">
        <v>97660</v>
      </c>
      <c r="C225" s="63" t="s">
        <v>18</v>
      </c>
      <c r="D225" s="65" t="s">
        <v>1798</v>
      </c>
      <c r="E225" s="66" t="s">
        <v>221</v>
      </c>
      <c r="F225" s="64">
        <v>3</v>
      </c>
      <c r="G225" s="329"/>
      <c r="H225" s="329">
        <f t="shared" si="33"/>
        <v>0</v>
      </c>
      <c r="I225" s="117">
        <f t="shared" si="35"/>
        <v>0</v>
      </c>
      <c r="J225" s="328" t="e">
        <f t="shared" si="34"/>
        <v>#DIV/0!</v>
      </c>
    </row>
    <row r="226" spans="1:11" s="100" customFormat="1" ht="15.75" customHeight="1" outlineLevel="1">
      <c r="A226" s="63" t="s">
        <v>609</v>
      </c>
      <c r="B226" s="63">
        <v>97665</v>
      </c>
      <c r="C226" s="63" t="s">
        <v>18</v>
      </c>
      <c r="D226" s="65" t="s">
        <v>1799</v>
      </c>
      <c r="E226" s="66" t="s">
        <v>221</v>
      </c>
      <c r="F226" s="64">
        <v>4</v>
      </c>
      <c r="G226" s="329"/>
      <c r="H226" s="329">
        <f t="shared" si="33"/>
        <v>0</v>
      </c>
      <c r="I226" s="117">
        <f t="shared" si="35"/>
        <v>0</v>
      </c>
      <c r="J226" s="328" t="e">
        <f t="shared" si="34"/>
        <v>#DIV/0!</v>
      </c>
    </row>
    <row r="227" spans="1:11" s="100" customFormat="1" ht="15.95" customHeight="1" outlineLevel="1">
      <c r="A227" s="63" t="s">
        <v>610</v>
      </c>
      <c r="B227" s="63" t="s">
        <v>126</v>
      </c>
      <c r="C227" s="63" t="s">
        <v>9</v>
      </c>
      <c r="D227" s="65" t="s">
        <v>386</v>
      </c>
      <c r="E227" s="66" t="s">
        <v>115</v>
      </c>
      <c r="F227" s="64">
        <v>27.2</v>
      </c>
      <c r="G227" s="329" t="s">
        <v>10</v>
      </c>
      <c r="H227" s="121"/>
      <c r="I227" s="117">
        <f t="shared" si="35"/>
        <v>0</v>
      </c>
      <c r="J227" s="328" t="e">
        <f t="shared" si="34"/>
        <v>#DIV/0!</v>
      </c>
    </row>
    <row r="228" spans="1:11" s="100" customFormat="1" ht="15.95" customHeight="1" outlineLevel="1">
      <c r="A228" s="63" t="s">
        <v>611</v>
      </c>
      <c r="B228" s="63" t="s">
        <v>125</v>
      </c>
      <c r="C228" s="63" t="s">
        <v>7</v>
      </c>
      <c r="D228" s="65" t="s">
        <v>592</v>
      </c>
      <c r="E228" s="68" t="s">
        <v>116</v>
      </c>
      <c r="F228" s="64">
        <v>5.84</v>
      </c>
      <c r="G228" s="329"/>
      <c r="H228" s="329">
        <f>TRUNC((G228*(1+$I$12)),2)</f>
        <v>0</v>
      </c>
      <c r="I228" s="117">
        <f t="shared" si="35"/>
        <v>0</v>
      </c>
      <c r="J228" s="328" t="e">
        <f t="shared" si="34"/>
        <v>#DIV/0!</v>
      </c>
    </row>
    <row r="229" spans="1:11" s="100" customFormat="1" ht="15.95" customHeight="1" outlineLevel="1">
      <c r="A229" s="63" t="s">
        <v>612</v>
      </c>
      <c r="B229" s="63" t="s">
        <v>32</v>
      </c>
      <c r="C229" s="63" t="s">
        <v>9</v>
      </c>
      <c r="D229" s="65" t="s">
        <v>598</v>
      </c>
      <c r="E229" s="68" t="s">
        <v>218</v>
      </c>
      <c r="F229" s="64">
        <f>49.49*0.1</f>
        <v>4.9490000000000007</v>
      </c>
      <c r="G229" s="329" t="s">
        <v>10</v>
      </c>
      <c r="H229" s="329"/>
      <c r="I229" s="117">
        <f t="shared" si="35"/>
        <v>0</v>
      </c>
      <c r="J229" s="328" t="e">
        <f t="shared" si="34"/>
        <v>#DIV/0!</v>
      </c>
    </row>
    <row r="230" spans="1:11" s="100" customFormat="1" ht="30.75" customHeight="1" outlineLevel="1">
      <c r="A230" s="63" t="s">
        <v>613</v>
      </c>
      <c r="B230" s="63">
        <v>100983</v>
      </c>
      <c r="C230" s="63" t="s">
        <v>18</v>
      </c>
      <c r="D230" s="65" t="s">
        <v>1896</v>
      </c>
      <c r="E230" s="86" t="s">
        <v>218</v>
      </c>
      <c r="F230" s="80">
        <f>(0.1+0.04+1.48+0.01+0.35+0.5+0.5+0.08+4.95+0.5)*1.3</f>
        <v>11.063000000000001</v>
      </c>
      <c r="G230" s="124"/>
      <c r="H230" s="350">
        <f t="shared" ref="H230:H232" si="36">TRUNC((G230*(1+$I$12)),2)</f>
        <v>0</v>
      </c>
      <c r="I230" s="117">
        <f t="shared" si="35"/>
        <v>0</v>
      </c>
      <c r="J230" s="231" t="e">
        <f t="shared" si="34"/>
        <v>#DIV/0!</v>
      </c>
    </row>
    <row r="231" spans="1:11" s="100" customFormat="1" ht="27" outlineLevel="1">
      <c r="A231" s="63" t="s">
        <v>614</v>
      </c>
      <c r="B231" s="63">
        <v>95875</v>
      </c>
      <c r="C231" s="63" t="s">
        <v>18</v>
      </c>
      <c r="D231" s="65" t="s">
        <v>1898</v>
      </c>
      <c r="E231" s="86" t="s">
        <v>1897</v>
      </c>
      <c r="F231" s="80">
        <f>F230*4</f>
        <v>44.252000000000002</v>
      </c>
      <c r="G231" s="124"/>
      <c r="H231" s="350">
        <f t="shared" si="36"/>
        <v>0</v>
      </c>
      <c r="I231" s="117">
        <f t="shared" si="35"/>
        <v>0</v>
      </c>
      <c r="J231" s="231" t="e">
        <f t="shared" si="34"/>
        <v>#DIV/0!</v>
      </c>
    </row>
    <row r="232" spans="1:11" s="157" customFormat="1" ht="27" outlineLevel="1">
      <c r="A232" s="63" t="s">
        <v>615</v>
      </c>
      <c r="B232" s="63">
        <v>97084</v>
      </c>
      <c r="C232" s="63" t="s">
        <v>18</v>
      </c>
      <c r="D232" s="65" t="s">
        <v>791</v>
      </c>
      <c r="E232" s="68" t="s">
        <v>116</v>
      </c>
      <c r="F232" s="64">
        <v>49.49</v>
      </c>
      <c r="G232" s="350"/>
      <c r="H232" s="329">
        <f t="shared" si="36"/>
        <v>0</v>
      </c>
      <c r="I232" s="117">
        <f t="shared" si="35"/>
        <v>0</v>
      </c>
      <c r="J232" s="328" t="e">
        <f t="shared" si="34"/>
        <v>#DIV/0!</v>
      </c>
    </row>
    <row r="233" spans="1:11" s="100" customFormat="1" ht="27" outlineLevel="1">
      <c r="A233" s="63" t="s">
        <v>616</v>
      </c>
      <c r="B233" s="128">
        <v>96622</v>
      </c>
      <c r="C233" s="128" t="s">
        <v>18</v>
      </c>
      <c r="D233" s="82" t="s">
        <v>1895</v>
      </c>
      <c r="E233" s="88" t="s">
        <v>218</v>
      </c>
      <c r="F233" s="75">
        <f>F232*0.05</f>
        <v>2.4745000000000004</v>
      </c>
      <c r="G233" s="145"/>
      <c r="H233" s="329">
        <f>TRUNC((G233*(1+$I$12)),2)</f>
        <v>0</v>
      </c>
      <c r="I233" s="117">
        <f t="shared" si="35"/>
        <v>0</v>
      </c>
      <c r="J233" s="328" t="e">
        <f t="shared" si="34"/>
        <v>#DIV/0!</v>
      </c>
    </row>
    <row r="234" spans="1:11" s="100" customFormat="1" ht="27" outlineLevel="1">
      <c r="A234" s="63" t="s">
        <v>617</v>
      </c>
      <c r="B234" s="128">
        <v>95241</v>
      </c>
      <c r="C234" s="128" t="s">
        <v>18</v>
      </c>
      <c r="D234" s="82" t="s">
        <v>1894</v>
      </c>
      <c r="E234" s="88" t="s">
        <v>116</v>
      </c>
      <c r="F234" s="75">
        <f>F232</f>
        <v>49.49</v>
      </c>
      <c r="G234" s="145"/>
      <c r="H234" s="329">
        <f>TRUNC((G234*(1+$I$12)),2)</f>
        <v>0</v>
      </c>
      <c r="I234" s="117">
        <f t="shared" si="35"/>
        <v>0</v>
      </c>
      <c r="J234" s="328" t="e">
        <f t="shared" si="34"/>
        <v>#DIV/0!</v>
      </c>
    </row>
    <row r="235" spans="1:11" s="100" customFormat="1" ht="40.5" outlineLevel="1">
      <c r="A235" s="63" t="s">
        <v>618</v>
      </c>
      <c r="B235" s="63">
        <v>104162</v>
      </c>
      <c r="C235" s="63" t="s">
        <v>18</v>
      </c>
      <c r="D235" s="65" t="s">
        <v>387</v>
      </c>
      <c r="E235" s="66" t="s">
        <v>116</v>
      </c>
      <c r="F235" s="64">
        <v>49.49</v>
      </c>
      <c r="G235" s="329"/>
      <c r="H235" s="329">
        <f t="shared" ref="H235:H243" si="37">TRUNC((G235*(1+$I$12)),2)</f>
        <v>0</v>
      </c>
      <c r="I235" s="117">
        <f t="shared" si="35"/>
        <v>0</v>
      </c>
      <c r="J235" s="328" t="e">
        <f t="shared" si="34"/>
        <v>#DIV/0!</v>
      </c>
      <c r="K235" s="100">
        <f>((2*2.1*0.15)+(0.9*0.15))</f>
        <v>0.76500000000000001</v>
      </c>
    </row>
    <row r="236" spans="1:11" s="100" customFormat="1" ht="15.95" customHeight="1" outlineLevel="1">
      <c r="A236" s="63" t="s">
        <v>619</v>
      </c>
      <c r="B236" s="63">
        <v>101741</v>
      </c>
      <c r="C236" s="63" t="s">
        <v>18</v>
      </c>
      <c r="D236" s="65" t="s">
        <v>388</v>
      </c>
      <c r="E236" s="66" t="s">
        <v>115</v>
      </c>
      <c r="F236" s="64">
        <v>27.2</v>
      </c>
      <c r="G236" s="329"/>
      <c r="H236" s="329">
        <f t="shared" si="37"/>
        <v>0</v>
      </c>
      <c r="I236" s="117">
        <f t="shared" si="35"/>
        <v>0</v>
      </c>
      <c r="J236" s="328" t="e">
        <f t="shared" si="34"/>
        <v>#DIV/0!</v>
      </c>
      <c r="K236" s="100">
        <f>(((13.75*2.76))-((0.9*2.1)+(3.4*1.5)))</f>
        <v>30.959999999999994</v>
      </c>
    </row>
    <row r="237" spans="1:11" s="100" customFormat="1" ht="27" outlineLevel="1">
      <c r="A237" s="63" t="s">
        <v>620</v>
      </c>
      <c r="B237" s="63">
        <v>96116</v>
      </c>
      <c r="C237" s="63" t="s">
        <v>18</v>
      </c>
      <c r="D237" s="65" t="s">
        <v>593</v>
      </c>
      <c r="E237" s="66" t="s">
        <v>116</v>
      </c>
      <c r="F237" s="64">
        <v>49.35</v>
      </c>
      <c r="G237" s="329"/>
      <c r="H237" s="329">
        <f t="shared" si="37"/>
        <v>0</v>
      </c>
      <c r="I237" s="117">
        <f t="shared" si="35"/>
        <v>0</v>
      </c>
      <c r="J237" s="328" t="e">
        <f t="shared" si="34"/>
        <v>#DIV/0!</v>
      </c>
    </row>
    <row r="238" spans="1:11" s="100" customFormat="1" ht="19.5" customHeight="1" outlineLevel="1">
      <c r="A238" s="63" t="s">
        <v>621</v>
      </c>
      <c r="B238" s="63" t="s">
        <v>10</v>
      </c>
      <c r="C238" s="63" t="str">
        <f>[1]Composições!$I$114</f>
        <v>COMP08</v>
      </c>
      <c r="D238" s="65" t="str">
        <f>[1]Composições!$B$114</f>
        <v>REQUADRO DE PORTAS E JANELAS</v>
      </c>
      <c r="E238" s="66" t="s">
        <v>116</v>
      </c>
      <c r="F238" s="64">
        <v>0.77</v>
      </c>
      <c r="G238" s="329"/>
      <c r="H238" s="329">
        <f t="shared" si="37"/>
        <v>0</v>
      </c>
      <c r="I238" s="117">
        <f t="shared" si="35"/>
        <v>0</v>
      </c>
      <c r="J238" s="328" t="e">
        <f t="shared" si="34"/>
        <v>#DIV/0!</v>
      </c>
    </row>
    <row r="239" spans="1:11" s="100" customFormat="1" ht="40.5" outlineLevel="1">
      <c r="A239" s="63" t="s">
        <v>622</v>
      </c>
      <c r="B239" s="63">
        <v>90844</v>
      </c>
      <c r="C239" s="63" t="s">
        <v>18</v>
      </c>
      <c r="D239" s="65" t="s">
        <v>392</v>
      </c>
      <c r="E239" s="66" t="s">
        <v>221</v>
      </c>
      <c r="F239" s="64">
        <v>1</v>
      </c>
      <c r="G239" s="241"/>
      <c r="H239" s="241">
        <f t="shared" si="37"/>
        <v>0</v>
      </c>
      <c r="I239" s="117">
        <f t="shared" si="35"/>
        <v>0</v>
      </c>
      <c r="J239" s="240" t="e">
        <f t="shared" si="34"/>
        <v>#DIV/0!</v>
      </c>
      <c r="K239" s="100">
        <f>((28.1*1)-(0.9*1))</f>
        <v>27.200000000000003</v>
      </c>
    </row>
    <row r="240" spans="1:11" s="100" customFormat="1" ht="15.95" customHeight="1" outlineLevel="1">
      <c r="A240" s="63" t="s">
        <v>623</v>
      </c>
      <c r="B240" s="63">
        <v>88495</v>
      </c>
      <c r="C240" s="63" t="s">
        <v>18</v>
      </c>
      <c r="D240" s="65" t="s">
        <v>393</v>
      </c>
      <c r="E240" s="66" t="s">
        <v>116</v>
      </c>
      <c r="F240" s="64">
        <v>36.58</v>
      </c>
      <c r="G240" s="241"/>
      <c r="H240" s="121">
        <f t="shared" si="37"/>
        <v>0</v>
      </c>
      <c r="I240" s="117">
        <f t="shared" si="35"/>
        <v>0</v>
      </c>
      <c r="J240" s="240" t="e">
        <f t="shared" si="34"/>
        <v>#DIV/0!</v>
      </c>
    </row>
    <row r="241" spans="1:12" s="100" customFormat="1" outlineLevel="1">
      <c r="A241" s="63" t="s">
        <v>624</v>
      </c>
      <c r="B241" s="63">
        <v>88489</v>
      </c>
      <c r="C241" s="63" t="s">
        <v>18</v>
      </c>
      <c r="D241" s="65" t="s">
        <v>36</v>
      </c>
      <c r="E241" s="66" t="s">
        <v>116</v>
      </c>
      <c r="F241" s="64">
        <v>36.58</v>
      </c>
      <c r="G241" s="241"/>
      <c r="H241" s="121">
        <f t="shared" si="37"/>
        <v>0</v>
      </c>
      <c r="I241" s="117">
        <f t="shared" si="35"/>
        <v>0</v>
      </c>
      <c r="J241" s="240" t="e">
        <f t="shared" si="34"/>
        <v>#DIV/0!</v>
      </c>
    </row>
    <row r="242" spans="1:12" s="100" customFormat="1" ht="15.95" customHeight="1" outlineLevel="1">
      <c r="A242" s="63" t="s">
        <v>625</v>
      </c>
      <c r="B242" s="63" t="s">
        <v>256</v>
      </c>
      <c r="C242" s="63" t="s">
        <v>7</v>
      </c>
      <c r="D242" s="65" t="s">
        <v>596</v>
      </c>
      <c r="E242" s="66" t="s">
        <v>116</v>
      </c>
      <c r="F242" s="64">
        <v>27.2</v>
      </c>
      <c r="G242" s="241"/>
      <c r="H242" s="121">
        <f t="shared" si="37"/>
        <v>0</v>
      </c>
      <c r="I242" s="117">
        <f t="shared" si="35"/>
        <v>0</v>
      </c>
      <c r="J242" s="240" t="e">
        <f t="shared" si="34"/>
        <v>#DIV/0!</v>
      </c>
      <c r="K242" s="135" t="e">
        <f>I229+I234+I235+I236+#REF!+#REF!</f>
        <v>#REF!</v>
      </c>
      <c r="L242" s="135"/>
    </row>
    <row r="243" spans="1:12" s="100" customFormat="1" ht="15.95" customHeight="1" outlineLevel="1">
      <c r="A243" s="63" t="s">
        <v>626</v>
      </c>
      <c r="B243" s="63" t="s">
        <v>595</v>
      </c>
      <c r="C243" s="63" t="s">
        <v>7</v>
      </c>
      <c r="D243" s="65" t="s">
        <v>594</v>
      </c>
      <c r="E243" s="66" t="s">
        <v>116</v>
      </c>
      <c r="F243" s="64">
        <v>6.89</v>
      </c>
      <c r="G243" s="241"/>
      <c r="H243" s="121">
        <f t="shared" si="37"/>
        <v>0</v>
      </c>
      <c r="I243" s="117">
        <f t="shared" si="35"/>
        <v>0</v>
      </c>
      <c r="J243" s="240" t="e">
        <f t="shared" si="34"/>
        <v>#DIV/0!</v>
      </c>
      <c r="K243" s="135" t="e">
        <f>K242*10</f>
        <v>#REF!</v>
      </c>
      <c r="L243" s="135"/>
    </row>
    <row r="244" spans="1:12" s="100" customFormat="1" outlineLevel="1">
      <c r="A244" s="63" t="s">
        <v>627</v>
      </c>
      <c r="B244" s="63" t="s">
        <v>131</v>
      </c>
      <c r="C244" s="63" t="s">
        <v>9</v>
      </c>
      <c r="D244" s="65" t="s">
        <v>602</v>
      </c>
      <c r="E244" s="66" t="s">
        <v>115</v>
      </c>
      <c r="F244" s="64">
        <v>5.3</v>
      </c>
      <c r="G244" s="241" t="s">
        <v>10</v>
      </c>
      <c r="H244" s="121"/>
      <c r="I244" s="117">
        <f t="shared" si="35"/>
        <v>0</v>
      </c>
      <c r="J244" s="240" t="e">
        <f t="shared" si="34"/>
        <v>#DIV/0!</v>
      </c>
      <c r="K244" s="135"/>
      <c r="L244" s="135"/>
    </row>
    <row r="245" spans="1:12" s="100" customFormat="1" ht="27" outlineLevel="1">
      <c r="A245" s="63" t="s">
        <v>628</v>
      </c>
      <c r="B245" s="63">
        <v>102219</v>
      </c>
      <c r="C245" s="63" t="s">
        <v>18</v>
      </c>
      <c r="D245" s="65" t="s">
        <v>600</v>
      </c>
      <c r="E245" s="66" t="s">
        <v>116</v>
      </c>
      <c r="F245" s="64">
        <v>5.67</v>
      </c>
      <c r="G245" s="241"/>
      <c r="H245" s="121">
        <f t="shared" ref="H245" si="38">TRUNC((G245*(1+$I$12)),2)</f>
        <v>0</v>
      </c>
      <c r="I245" s="117">
        <f t="shared" si="35"/>
        <v>0</v>
      </c>
      <c r="J245" s="240" t="e">
        <f t="shared" si="34"/>
        <v>#DIV/0!</v>
      </c>
    </row>
    <row r="246" spans="1:12" s="100" customFormat="1" ht="15.75" customHeight="1" outlineLevel="1">
      <c r="A246" s="63" t="s">
        <v>629</v>
      </c>
      <c r="B246" s="63" t="s">
        <v>11</v>
      </c>
      <c r="C246" s="63" t="s">
        <v>9</v>
      </c>
      <c r="D246" s="65" t="s">
        <v>398</v>
      </c>
      <c r="E246" s="66" t="s">
        <v>116</v>
      </c>
      <c r="F246" s="64">
        <v>10.199999999999999</v>
      </c>
      <c r="G246" s="241" t="s">
        <v>10</v>
      </c>
      <c r="H246" s="121"/>
      <c r="I246" s="117">
        <f t="shared" si="35"/>
        <v>0</v>
      </c>
      <c r="J246" s="240" t="e">
        <f t="shared" si="34"/>
        <v>#DIV/0!</v>
      </c>
    </row>
    <row r="247" spans="1:12" s="100" customFormat="1" ht="15.75" customHeight="1" outlineLevel="1">
      <c r="A247" s="63" t="s">
        <v>894</v>
      </c>
      <c r="B247" s="63" t="s">
        <v>597</v>
      </c>
      <c r="C247" s="63" t="s">
        <v>9</v>
      </c>
      <c r="D247" s="65" t="s">
        <v>601</v>
      </c>
      <c r="E247" s="66" t="s">
        <v>218</v>
      </c>
      <c r="F247" s="64">
        <v>0.19</v>
      </c>
      <c r="G247" s="241" t="s">
        <v>10</v>
      </c>
      <c r="H247" s="121"/>
      <c r="I247" s="117">
        <f t="shared" si="35"/>
        <v>0</v>
      </c>
      <c r="J247" s="240" t="e">
        <f t="shared" si="34"/>
        <v>#DIV/0!</v>
      </c>
    </row>
    <row r="248" spans="1:12" s="100" customFormat="1" ht="27" outlineLevel="1">
      <c r="A248" s="63" t="s">
        <v>1907</v>
      </c>
      <c r="B248" s="63">
        <v>102219</v>
      </c>
      <c r="C248" s="63" t="s">
        <v>18</v>
      </c>
      <c r="D248" s="65" t="s">
        <v>599</v>
      </c>
      <c r="E248" s="66" t="s">
        <v>116</v>
      </c>
      <c r="F248" s="64">
        <f>F247/0.03</f>
        <v>6.3333333333333339</v>
      </c>
      <c r="G248" s="241"/>
      <c r="H248" s="121">
        <f t="shared" ref="H248" si="39">TRUNC((G248*(1+$I$12)),2)</f>
        <v>0</v>
      </c>
      <c r="I248" s="117">
        <f t="shared" si="35"/>
        <v>0</v>
      </c>
      <c r="J248" s="240" t="e">
        <f t="shared" si="34"/>
        <v>#DIV/0!</v>
      </c>
    </row>
    <row r="249" spans="1:12" s="100" customFormat="1" ht="15.95" customHeight="1" outlineLevel="1">
      <c r="A249" s="63" t="s">
        <v>606</v>
      </c>
      <c r="B249" s="63" t="s">
        <v>10</v>
      </c>
      <c r="C249" s="63" t="str">
        <f>[1]Composições!$I$107</f>
        <v>COMP07</v>
      </c>
      <c r="D249" s="65" t="str">
        <f>[1]Composições!$B$107</f>
        <v>INSTALAÇÃO DE VENTILADOR</v>
      </c>
      <c r="E249" s="66" t="s">
        <v>221</v>
      </c>
      <c r="F249" s="64">
        <v>2</v>
      </c>
      <c r="G249" s="329"/>
      <c r="H249" s="329">
        <f>TRUNC((G249*(1+$I$12)),2)</f>
        <v>0</v>
      </c>
      <c r="I249" s="117">
        <f>ROUND((F249*H249),2)</f>
        <v>0</v>
      </c>
      <c r="J249" s="328" t="e">
        <f t="shared" si="34"/>
        <v>#DIV/0!</v>
      </c>
    </row>
    <row r="250" spans="1:12" ht="15.95" customHeight="1">
      <c r="A250" s="378" t="s">
        <v>630</v>
      </c>
      <c r="B250" s="378"/>
      <c r="C250" s="378"/>
      <c r="D250" s="378"/>
      <c r="E250" s="378"/>
      <c r="F250" s="378"/>
      <c r="G250" s="378"/>
      <c r="H250" s="378"/>
      <c r="I250" s="177">
        <f>SUM(I222:I249)</f>
        <v>0</v>
      </c>
      <c r="J250" s="316" t="e">
        <f>SUM(J222:J249)</f>
        <v>#DIV/0!</v>
      </c>
      <c r="K250" s="318" t="e">
        <f>I250/$I$432</f>
        <v>#DIV/0!</v>
      </c>
    </row>
    <row r="251" spans="1:12" ht="15.95" customHeight="1">
      <c r="A251" s="141" t="s">
        <v>631</v>
      </c>
      <c r="B251" s="418"/>
      <c r="C251" s="418"/>
      <c r="D251" s="142" t="s">
        <v>149</v>
      </c>
      <c r="E251" s="419"/>
      <c r="F251" s="419"/>
      <c r="G251" s="420"/>
      <c r="H251" s="420"/>
      <c r="I251" s="420"/>
      <c r="J251" s="420"/>
    </row>
    <row r="252" spans="1:12" s="100" customFormat="1" ht="15.95" customHeight="1" outlineLevel="1">
      <c r="A252" s="138" t="s">
        <v>632</v>
      </c>
      <c r="B252" s="5">
        <v>97644</v>
      </c>
      <c r="C252" s="5" t="s">
        <v>18</v>
      </c>
      <c r="D252" s="106" t="s">
        <v>463</v>
      </c>
      <c r="E252" s="109" t="s">
        <v>116</v>
      </c>
      <c r="F252" s="64">
        <f>2.1*0.9</f>
        <v>1.8900000000000001</v>
      </c>
      <c r="G252" s="116"/>
      <c r="H252" s="241">
        <f t="shared" ref="H252:H256" si="40">TRUNC((G252*(1+$I$12)),2)</f>
        <v>0</v>
      </c>
      <c r="I252" s="117">
        <f>ROUND((F252*H252),2)</f>
        <v>0</v>
      </c>
      <c r="J252" s="231" t="e">
        <f t="shared" ref="J252:J279" si="41">(I252/$I$1421)</f>
        <v>#DIV/0!</v>
      </c>
    </row>
    <row r="253" spans="1:12" s="100" customFormat="1" ht="27" outlineLevel="1">
      <c r="A253" s="138" t="s">
        <v>633</v>
      </c>
      <c r="B253" s="5">
        <v>97640</v>
      </c>
      <c r="C253" s="5" t="s">
        <v>18</v>
      </c>
      <c r="D253" s="106" t="s">
        <v>1797</v>
      </c>
      <c r="E253" s="109" t="s">
        <v>116</v>
      </c>
      <c r="F253" s="64">
        <v>49.35</v>
      </c>
      <c r="G253" s="241"/>
      <c r="H253" s="241">
        <f t="shared" si="40"/>
        <v>0</v>
      </c>
      <c r="I253" s="117">
        <f t="shared" ref="I253:I278" si="42">ROUND((F253*H253),2)</f>
        <v>0</v>
      </c>
      <c r="J253" s="231" t="e">
        <f t="shared" si="41"/>
        <v>#DIV/0!</v>
      </c>
    </row>
    <row r="254" spans="1:12" s="100" customFormat="1" ht="15.95" customHeight="1" outlineLevel="1">
      <c r="A254" s="138" t="s">
        <v>634</v>
      </c>
      <c r="B254" s="63" t="s">
        <v>135</v>
      </c>
      <c r="C254" s="63" t="s">
        <v>7</v>
      </c>
      <c r="D254" s="65" t="s">
        <v>383</v>
      </c>
      <c r="E254" s="66" t="s">
        <v>115</v>
      </c>
      <c r="F254" s="64">
        <v>54.45</v>
      </c>
      <c r="G254" s="330"/>
      <c r="H254" s="329">
        <f t="shared" si="40"/>
        <v>0</v>
      </c>
      <c r="I254" s="117">
        <f t="shared" si="42"/>
        <v>0</v>
      </c>
      <c r="J254" s="231" t="e">
        <f t="shared" si="41"/>
        <v>#DIV/0!</v>
      </c>
    </row>
    <row r="255" spans="1:12" s="100" customFormat="1" ht="27" outlineLevel="1">
      <c r="A255" s="138" t="s">
        <v>635</v>
      </c>
      <c r="B255" s="63">
        <v>97660</v>
      </c>
      <c r="C255" s="63" t="s">
        <v>18</v>
      </c>
      <c r="D255" s="65" t="s">
        <v>1798</v>
      </c>
      <c r="E255" s="66" t="s">
        <v>221</v>
      </c>
      <c r="F255" s="64">
        <v>3</v>
      </c>
      <c r="G255" s="330"/>
      <c r="H255" s="329">
        <f t="shared" si="40"/>
        <v>0</v>
      </c>
      <c r="I255" s="117">
        <f t="shared" si="42"/>
        <v>0</v>
      </c>
      <c r="J255" s="231" t="e">
        <f t="shared" si="41"/>
        <v>#DIV/0!</v>
      </c>
    </row>
    <row r="256" spans="1:12" s="100" customFormat="1" ht="15.75" customHeight="1" outlineLevel="1">
      <c r="A256" s="138" t="s">
        <v>636</v>
      </c>
      <c r="B256" s="63">
        <v>97665</v>
      </c>
      <c r="C256" s="63" t="s">
        <v>18</v>
      </c>
      <c r="D256" s="65" t="s">
        <v>1799</v>
      </c>
      <c r="E256" s="66" t="s">
        <v>221</v>
      </c>
      <c r="F256" s="64">
        <v>4</v>
      </c>
      <c r="G256" s="330"/>
      <c r="H256" s="329">
        <f t="shared" si="40"/>
        <v>0</v>
      </c>
      <c r="I256" s="117">
        <f t="shared" si="42"/>
        <v>0</v>
      </c>
      <c r="J256" s="231" t="e">
        <f t="shared" si="41"/>
        <v>#DIV/0!</v>
      </c>
    </row>
    <row r="257" spans="1:12" s="100" customFormat="1" ht="15.95" customHeight="1" outlineLevel="1">
      <c r="A257" s="138" t="s">
        <v>637</v>
      </c>
      <c r="B257" s="63" t="s">
        <v>126</v>
      </c>
      <c r="C257" s="63" t="s">
        <v>9</v>
      </c>
      <c r="D257" s="65" t="s">
        <v>386</v>
      </c>
      <c r="E257" s="66" t="s">
        <v>115</v>
      </c>
      <c r="F257" s="64">
        <v>27.2</v>
      </c>
      <c r="G257" s="330" t="s">
        <v>10</v>
      </c>
      <c r="H257" s="121"/>
      <c r="I257" s="117">
        <f t="shared" si="42"/>
        <v>0</v>
      </c>
      <c r="J257" s="231" t="e">
        <f t="shared" si="41"/>
        <v>#DIV/0!</v>
      </c>
    </row>
    <row r="258" spans="1:12" s="100" customFormat="1" ht="15.95" customHeight="1" outlineLevel="1">
      <c r="A258" s="138" t="s">
        <v>638</v>
      </c>
      <c r="B258" s="63" t="s">
        <v>125</v>
      </c>
      <c r="C258" s="63" t="s">
        <v>7</v>
      </c>
      <c r="D258" s="65" t="s">
        <v>592</v>
      </c>
      <c r="E258" s="68" t="s">
        <v>116</v>
      </c>
      <c r="F258" s="64">
        <v>6.89</v>
      </c>
      <c r="G258" s="330"/>
      <c r="H258" s="329">
        <f>TRUNC((G258*(1+$I$12)),2)</f>
        <v>0</v>
      </c>
      <c r="I258" s="117">
        <f t="shared" si="42"/>
        <v>0</v>
      </c>
      <c r="J258" s="231" t="e">
        <f t="shared" si="41"/>
        <v>#DIV/0!</v>
      </c>
    </row>
    <row r="259" spans="1:12" s="100" customFormat="1" ht="15.95" customHeight="1" outlineLevel="1">
      <c r="A259" s="138" t="s">
        <v>639</v>
      </c>
      <c r="B259" s="63" t="s">
        <v>32</v>
      </c>
      <c r="C259" s="63" t="s">
        <v>9</v>
      </c>
      <c r="D259" s="65" t="s">
        <v>598</v>
      </c>
      <c r="E259" s="68" t="s">
        <v>218</v>
      </c>
      <c r="F259" s="64">
        <f>49.49*0.1</f>
        <v>4.9490000000000007</v>
      </c>
      <c r="G259" s="139" t="s">
        <v>10</v>
      </c>
      <c r="H259" s="124"/>
      <c r="I259" s="117">
        <f t="shared" si="42"/>
        <v>0</v>
      </c>
      <c r="J259" s="231" t="e">
        <f t="shared" si="41"/>
        <v>#DIV/0!</v>
      </c>
    </row>
    <row r="260" spans="1:12" s="100" customFormat="1" ht="40.5" outlineLevel="1">
      <c r="A260" s="138" t="s">
        <v>640</v>
      </c>
      <c r="B260" s="63">
        <v>100983</v>
      </c>
      <c r="C260" s="63" t="s">
        <v>18</v>
      </c>
      <c r="D260" s="65" t="s">
        <v>1896</v>
      </c>
      <c r="E260" s="86" t="s">
        <v>218</v>
      </c>
      <c r="F260" s="80">
        <f>(0.1+0.04+1.48+0.01+0.35+0.5+0.5+0.08+4.95+0.5)*1.3</f>
        <v>11.063000000000001</v>
      </c>
      <c r="G260" s="124"/>
      <c r="H260" s="350">
        <f t="shared" ref="H260:H262" si="43">TRUNC((G260*(1+$I$12)),2)</f>
        <v>0</v>
      </c>
      <c r="I260" s="117">
        <f t="shared" si="42"/>
        <v>0</v>
      </c>
      <c r="J260" s="231" t="e">
        <f t="shared" si="41"/>
        <v>#DIV/0!</v>
      </c>
    </row>
    <row r="261" spans="1:12" s="100" customFormat="1" ht="27" outlineLevel="1">
      <c r="A261" s="138" t="s">
        <v>641</v>
      </c>
      <c r="B261" s="63">
        <v>95875</v>
      </c>
      <c r="C261" s="63" t="s">
        <v>18</v>
      </c>
      <c r="D261" s="65" t="s">
        <v>1898</v>
      </c>
      <c r="E261" s="86" t="s">
        <v>1897</v>
      </c>
      <c r="F261" s="80">
        <f>F260*4</f>
        <v>44.252000000000002</v>
      </c>
      <c r="G261" s="124"/>
      <c r="H261" s="350">
        <f t="shared" si="43"/>
        <v>0</v>
      </c>
      <c r="I261" s="117">
        <f t="shared" si="42"/>
        <v>0</v>
      </c>
      <c r="J261" s="231" t="e">
        <f t="shared" si="41"/>
        <v>#DIV/0!</v>
      </c>
    </row>
    <row r="262" spans="1:12" s="157" customFormat="1" ht="27" outlineLevel="1">
      <c r="A262" s="138" t="s">
        <v>642</v>
      </c>
      <c r="B262" s="63">
        <v>97084</v>
      </c>
      <c r="C262" s="63" t="s">
        <v>18</v>
      </c>
      <c r="D262" s="65" t="s">
        <v>791</v>
      </c>
      <c r="E262" s="68" t="s">
        <v>116</v>
      </c>
      <c r="F262" s="64">
        <v>49.49</v>
      </c>
      <c r="G262" s="350"/>
      <c r="H262" s="329">
        <f t="shared" si="43"/>
        <v>0</v>
      </c>
      <c r="I262" s="117">
        <f t="shared" si="42"/>
        <v>0</v>
      </c>
      <c r="J262" s="231" t="e">
        <f t="shared" si="41"/>
        <v>#DIV/0!</v>
      </c>
    </row>
    <row r="263" spans="1:12" s="100" customFormat="1" ht="27" outlineLevel="1">
      <c r="A263" s="138" t="s">
        <v>643</v>
      </c>
      <c r="B263" s="128">
        <v>96622</v>
      </c>
      <c r="C263" s="128" t="s">
        <v>18</v>
      </c>
      <c r="D263" s="82" t="s">
        <v>1895</v>
      </c>
      <c r="E263" s="88" t="s">
        <v>218</v>
      </c>
      <c r="F263" s="75">
        <f>F262*0.05</f>
        <v>2.4745000000000004</v>
      </c>
      <c r="G263" s="145"/>
      <c r="H263" s="329">
        <f>TRUNC((G263*(1+$I$12)),2)</f>
        <v>0</v>
      </c>
      <c r="I263" s="117">
        <f t="shared" si="42"/>
        <v>0</v>
      </c>
      <c r="J263" s="231" t="e">
        <f t="shared" si="41"/>
        <v>#DIV/0!</v>
      </c>
    </row>
    <row r="264" spans="1:12" s="100" customFormat="1" ht="27" outlineLevel="1">
      <c r="A264" s="138" t="s">
        <v>644</v>
      </c>
      <c r="B264" s="128">
        <v>95241</v>
      </c>
      <c r="C264" s="128" t="s">
        <v>18</v>
      </c>
      <c r="D264" s="82" t="s">
        <v>1894</v>
      </c>
      <c r="E264" s="88" t="s">
        <v>116</v>
      </c>
      <c r="F264" s="75">
        <f>F262</f>
        <v>49.49</v>
      </c>
      <c r="G264" s="145"/>
      <c r="H264" s="329">
        <f>TRUNC((G264*(1+$I$12)),2)</f>
        <v>0</v>
      </c>
      <c r="I264" s="117">
        <f t="shared" si="42"/>
        <v>0</v>
      </c>
      <c r="J264" s="231" t="e">
        <f t="shared" si="41"/>
        <v>#DIV/0!</v>
      </c>
    </row>
    <row r="265" spans="1:12" s="100" customFormat="1" ht="40.5" outlineLevel="1">
      <c r="A265" s="138" t="s">
        <v>645</v>
      </c>
      <c r="B265" s="63">
        <v>104162</v>
      </c>
      <c r="C265" s="63" t="s">
        <v>18</v>
      </c>
      <c r="D265" s="65" t="s">
        <v>387</v>
      </c>
      <c r="E265" s="66" t="s">
        <v>116</v>
      </c>
      <c r="F265" s="64">
        <v>49.49</v>
      </c>
      <c r="G265" s="330"/>
      <c r="H265" s="329">
        <f t="shared" ref="H265:H273" si="44">TRUNC((G265*(1+$I$12)),2)</f>
        <v>0</v>
      </c>
      <c r="I265" s="117">
        <f t="shared" si="42"/>
        <v>0</v>
      </c>
      <c r="J265" s="231" t="e">
        <f t="shared" si="41"/>
        <v>#DIV/0!</v>
      </c>
      <c r="K265" s="100">
        <f>((2*2.1*0.15)+(0.9*0.15))</f>
        <v>0.76500000000000001</v>
      </c>
    </row>
    <row r="266" spans="1:12" s="100" customFormat="1" ht="15.95" customHeight="1" outlineLevel="1">
      <c r="A266" s="138" t="s">
        <v>646</v>
      </c>
      <c r="B266" s="63">
        <v>101741</v>
      </c>
      <c r="C266" s="63" t="s">
        <v>18</v>
      </c>
      <c r="D266" s="65" t="s">
        <v>388</v>
      </c>
      <c r="E266" s="66" t="s">
        <v>115</v>
      </c>
      <c r="F266" s="64">
        <v>27.2</v>
      </c>
      <c r="G266" s="330"/>
      <c r="H266" s="329">
        <f t="shared" si="44"/>
        <v>0</v>
      </c>
      <c r="I266" s="117">
        <f t="shared" si="42"/>
        <v>0</v>
      </c>
      <c r="J266" s="231" t="e">
        <f t="shared" si="41"/>
        <v>#DIV/0!</v>
      </c>
      <c r="K266" s="100">
        <f>(((13.75*2.76))-((0.9*2.1)+(3.4*1.5)))</f>
        <v>30.959999999999994</v>
      </c>
    </row>
    <row r="267" spans="1:12" s="100" customFormat="1" ht="27" outlineLevel="1">
      <c r="A267" s="138" t="s">
        <v>647</v>
      </c>
      <c r="B267" s="63">
        <v>96116</v>
      </c>
      <c r="C267" s="63" t="s">
        <v>18</v>
      </c>
      <c r="D267" s="65" t="s">
        <v>593</v>
      </c>
      <c r="E267" s="66" t="s">
        <v>116</v>
      </c>
      <c r="F267" s="64">
        <v>49.35</v>
      </c>
      <c r="G267" s="330"/>
      <c r="H267" s="329">
        <f t="shared" si="44"/>
        <v>0</v>
      </c>
      <c r="I267" s="117">
        <f t="shared" si="42"/>
        <v>0</v>
      </c>
      <c r="J267" s="231" t="e">
        <f t="shared" si="41"/>
        <v>#DIV/0!</v>
      </c>
    </row>
    <row r="268" spans="1:12" s="100" customFormat="1" ht="19.5" customHeight="1" outlineLevel="1">
      <c r="A268" s="138" t="s">
        <v>648</v>
      </c>
      <c r="B268" s="63" t="s">
        <v>10</v>
      </c>
      <c r="C268" s="63" t="str">
        <f>[1]Composições!$I$114</f>
        <v>COMP08</v>
      </c>
      <c r="D268" s="65" t="str">
        <f>[1]Composições!$B$114</f>
        <v>REQUADRO DE PORTAS E JANELAS</v>
      </c>
      <c r="E268" s="66" t="s">
        <v>116</v>
      </c>
      <c r="F268" s="64">
        <v>0.77</v>
      </c>
      <c r="G268" s="330"/>
      <c r="H268" s="329">
        <f t="shared" si="44"/>
        <v>0</v>
      </c>
      <c r="I268" s="117">
        <f t="shared" si="42"/>
        <v>0</v>
      </c>
      <c r="J268" s="231" t="e">
        <f t="shared" si="41"/>
        <v>#DIV/0!</v>
      </c>
    </row>
    <row r="269" spans="1:12" s="100" customFormat="1" ht="40.5" outlineLevel="1">
      <c r="A269" s="138" t="s">
        <v>649</v>
      </c>
      <c r="B269" s="63">
        <v>90844</v>
      </c>
      <c r="C269" s="63" t="s">
        <v>18</v>
      </c>
      <c r="D269" s="65" t="s">
        <v>392</v>
      </c>
      <c r="E269" s="66" t="s">
        <v>221</v>
      </c>
      <c r="F269" s="64">
        <v>1</v>
      </c>
      <c r="G269" s="243"/>
      <c r="H269" s="241">
        <f t="shared" si="44"/>
        <v>0</v>
      </c>
      <c r="I269" s="117">
        <f t="shared" si="42"/>
        <v>0</v>
      </c>
      <c r="J269" s="231" t="e">
        <f t="shared" si="41"/>
        <v>#DIV/0!</v>
      </c>
      <c r="K269" s="100">
        <f>((28.1*1)-(0.9*1))</f>
        <v>27.200000000000003</v>
      </c>
    </row>
    <row r="270" spans="1:12" s="100" customFormat="1" ht="15.95" customHeight="1" outlineLevel="1">
      <c r="A270" s="138" t="s">
        <v>650</v>
      </c>
      <c r="B270" s="63">
        <v>88495</v>
      </c>
      <c r="C270" s="63" t="s">
        <v>18</v>
      </c>
      <c r="D270" s="65" t="s">
        <v>393</v>
      </c>
      <c r="E270" s="66" t="s">
        <v>116</v>
      </c>
      <c r="F270" s="64">
        <v>36.58</v>
      </c>
      <c r="G270" s="137"/>
      <c r="H270" s="117">
        <f t="shared" si="44"/>
        <v>0</v>
      </c>
      <c r="I270" s="117">
        <f t="shared" si="42"/>
        <v>0</v>
      </c>
      <c r="J270" s="231" t="e">
        <f t="shared" si="41"/>
        <v>#DIV/0!</v>
      </c>
    </row>
    <row r="271" spans="1:12" s="100" customFormat="1" outlineLevel="1">
      <c r="A271" s="138" t="s">
        <v>651</v>
      </c>
      <c r="B271" s="63">
        <v>88489</v>
      </c>
      <c r="C271" s="63" t="s">
        <v>18</v>
      </c>
      <c r="D271" s="65" t="s">
        <v>36</v>
      </c>
      <c r="E271" s="66" t="s">
        <v>116</v>
      </c>
      <c r="F271" s="64">
        <v>36.58</v>
      </c>
      <c r="G271" s="137"/>
      <c r="H271" s="117">
        <f t="shared" si="44"/>
        <v>0</v>
      </c>
      <c r="I271" s="117">
        <f t="shared" si="42"/>
        <v>0</v>
      </c>
      <c r="J271" s="231" t="e">
        <f t="shared" si="41"/>
        <v>#DIV/0!</v>
      </c>
    </row>
    <row r="272" spans="1:12" s="100" customFormat="1" ht="15.95" customHeight="1" outlineLevel="1">
      <c r="A272" s="138" t="s">
        <v>652</v>
      </c>
      <c r="B272" s="63" t="s">
        <v>256</v>
      </c>
      <c r="C272" s="63" t="s">
        <v>7</v>
      </c>
      <c r="D272" s="65" t="s">
        <v>596</v>
      </c>
      <c r="E272" s="66" t="s">
        <v>116</v>
      </c>
      <c r="F272" s="64">
        <v>27.2</v>
      </c>
      <c r="G272" s="137"/>
      <c r="H272" s="117">
        <f t="shared" si="44"/>
        <v>0</v>
      </c>
      <c r="I272" s="117">
        <f t="shared" si="42"/>
        <v>0</v>
      </c>
      <c r="J272" s="231" t="e">
        <f t="shared" si="41"/>
        <v>#DIV/0!</v>
      </c>
      <c r="K272" s="135" t="e">
        <f>I259+I264+I265+I266+#REF!+#REF!</f>
        <v>#REF!</v>
      </c>
      <c r="L272" s="135"/>
    </row>
    <row r="273" spans="1:12" s="100" customFormat="1" ht="15.95" customHeight="1" outlineLevel="1">
      <c r="A273" s="138" t="s">
        <v>653</v>
      </c>
      <c r="B273" s="63" t="s">
        <v>595</v>
      </c>
      <c r="C273" s="63" t="s">
        <v>7</v>
      </c>
      <c r="D273" s="65" t="s">
        <v>594</v>
      </c>
      <c r="E273" s="66" t="s">
        <v>116</v>
      </c>
      <c r="F273" s="64">
        <v>6.89</v>
      </c>
      <c r="G273" s="243"/>
      <c r="H273" s="117">
        <f t="shared" si="44"/>
        <v>0</v>
      </c>
      <c r="I273" s="117">
        <f t="shared" si="42"/>
        <v>0</v>
      </c>
      <c r="J273" s="231" t="e">
        <f t="shared" si="41"/>
        <v>#DIV/0!</v>
      </c>
      <c r="K273" s="135" t="e">
        <f>K272*10</f>
        <v>#REF!</v>
      </c>
      <c r="L273" s="135"/>
    </row>
    <row r="274" spans="1:12" s="100" customFormat="1" outlineLevel="1">
      <c r="A274" s="138" t="s">
        <v>654</v>
      </c>
      <c r="B274" s="63" t="s">
        <v>131</v>
      </c>
      <c r="C274" s="63" t="s">
        <v>9</v>
      </c>
      <c r="D274" s="65" t="s">
        <v>602</v>
      </c>
      <c r="E274" s="66" t="s">
        <v>115</v>
      </c>
      <c r="F274" s="64">
        <v>5.3</v>
      </c>
      <c r="G274" s="147" t="s">
        <v>10</v>
      </c>
      <c r="H274" s="117"/>
      <c r="I274" s="117">
        <f t="shared" si="42"/>
        <v>0</v>
      </c>
      <c r="J274" s="231" t="e">
        <f t="shared" si="41"/>
        <v>#DIV/0!</v>
      </c>
      <c r="K274" s="135"/>
      <c r="L274" s="135"/>
    </row>
    <row r="275" spans="1:12" s="100" customFormat="1" ht="27" outlineLevel="1">
      <c r="A275" s="138" t="s">
        <v>655</v>
      </c>
      <c r="B275" s="63">
        <v>102219</v>
      </c>
      <c r="C275" s="63" t="s">
        <v>18</v>
      </c>
      <c r="D275" s="65" t="s">
        <v>600</v>
      </c>
      <c r="E275" s="66" t="s">
        <v>116</v>
      </c>
      <c r="F275" s="64">
        <v>5.67</v>
      </c>
      <c r="G275" s="137"/>
      <c r="H275" s="117">
        <f t="shared" ref="H275" si="45">TRUNC((G275*(1+$I$12)),2)</f>
        <v>0</v>
      </c>
      <c r="I275" s="117">
        <f t="shared" si="42"/>
        <v>0</v>
      </c>
      <c r="J275" s="231" t="e">
        <f t="shared" si="41"/>
        <v>#DIV/0!</v>
      </c>
    </row>
    <row r="276" spans="1:12" s="100" customFormat="1" ht="15.75" customHeight="1" outlineLevel="1">
      <c r="A276" s="138" t="s">
        <v>656</v>
      </c>
      <c r="B276" s="63" t="s">
        <v>11</v>
      </c>
      <c r="C276" s="63" t="s">
        <v>9</v>
      </c>
      <c r="D276" s="65" t="s">
        <v>398</v>
      </c>
      <c r="E276" s="66" t="s">
        <v>116</v>
      </c>
      <c r="F276" s="64">
        <v>10.199999999999999</v>
      </c>
      <c r="G276" s="243" t="s">
        <v>10</v>
      </c>
      <c r="H276" s="121"/>
      <c r="I276" s="117">
        <f t="shared" si="42"/>
        <v>0</v>
      </c>
      <c r="J276" s="231" t="e">
        <f t="shared" si="41"/>
        <v>#DIV/0!</v>
      </c>
    </row>
    <row r="277" spans="1:12" s="100" customFormat="1" ht="15.75" customHeight="1" outlineLevel="1">
      <c r="A277" s="138" t="s">
        <v>657</v>
      </c>
      <c r="B277" s="63" t="s">
        <v>597</v>
      </c>
      <c r="C277" s="63" t="s">
        <v>9</v>
      </c>
      <c r="D277" s="65" t="s">
        <v>601</v>
      </c>
      <c r="E277" s="66" t="s">
        <v>218</v>
      </c>
      <c r="F277" s="64">
        <v>0.19</v>
      </c>
      <c r="G277" s="243" t="s">
        <v>10</v>
      </c>
      <c r="H277" s="121"/>
      <c r="I277" s="117">
        <f t="shared" si="42"/>
        <v>0</v>
      </c>
      <c r="J277" s="231" t="e">
        <f t="shared" si="41"/>
        <v>#DIV/0!</v>
      </c>
    </row>
    <row r="278" spans="1:12" s="100" customFormat="1" ht="27" outlineLevel="1">
      <c r="A278" s="138" t="s">
        <v>895</v>
      </c>
      <c r="B278" s="103">
        <v>102219</v>
      </c>
      <c r="C278" s="103" t="s">
        <v>18</v>
      </c>
      <c r="D278" s="85" t="s">
        <v>599</v>
      </c>
      <c r="E278" s="86" t="s">
        <v>116</v>
      </c>
      <c r="F278" s="80">
        <f>F277/0.03</f>
        <v>6.3333333333333339</v>
      </c>
      <c r="G278" s="139"/>
      <c r="H278" s="125">
        <f t="shared" ref="H278" si="46">TRUNC((G278*(1+$I$12)),2)</f>
        <v>0</v>
      </c>
      <c r="I278" s="117">
        <f t="shared" si="42"/>
        <v>0</v>
      </c>
      <c r="J278" s="231" t="e">
        <f t="shared" si="41"/>
        <v>#DIV/0!</v>
      </c>
    </row>
    <row r="279" spans="1:12" s="100" customFormat="1" ht="15.95" customHeight="1" outlineLevel="1">
      <c r="A279" s="138" t="s">
        <v>1908</v>
      </c>
      <c r="B279" s="63" t="s">
        <v>10</v>
      </c>
      <c r="C279" s="63" t="str">
        <f>[1]Composições!$I$107</f>
        <v>COMP07</v>
      </c>
      <c r="D279" s="65" t="str">
        <f>[1]Composições!$B$107</f>
        <v>INSTALAÇÃO DE VENTILADOR</v>
      </c>
      <c r="E279" s="66" t="s">
        <v>221</v>
      </c>
      <c r="F279" s="64">
        <v>2</v>
      </c>
      <c r="G279" s="137"/>
      <c r="H279" s="329">
        <f>TRUNC((G279*(1+$I$12)),2)</f>
        <v>0</v>
      </c>
      <c r="I279" s="117">
        <f>ROUND((F279*H279),2)</f>
        <v>0</v>
      </c>
      <c r="J279" s="231" t="e">
        <f t="shared" si="41"/>
        <v>#DIV/0!</v>
      </c>
    </row>
    <row r="280" spans="1:12" ht="15.95" customHeight="1">
      <c r="A280" s="378" t="s">
        <v>658</v>
      </c>
      <c r="B280" s="378"/>
      <c r="C280" s="378"/>
      <c r="D280" s="378"/>
      <c r="E280" s="378"/>
      <c r="F280" s="378"/>
      <c r="G280" s="378"/>
      <c r="H280" s="378"/>
      <c r="I280" s="177">
        <f>SUM(I252:I279)</f>
        <v>0</v>
      </c>
      <c r="J280" s="316" t="e">
        <f>SUM(J252:J279)</f>
        <v>#DIV/0!</v>
      </c>
      <c r="K280" s="318" t="e">
        <f>I280/$I$432</f>
        <v>#DIV/0!</v>
      </c>
    </row>
    <row r="281" spans="1:12" ht="15.95" customHeight="1">
      <c r="A281" s="61" t="s">
        <v>659</v>
      </c>
      <c r="B281" s="394"/>
      <c r="C281" s="394"/>
      <c r="D281" s="143" t="s">
        <v>150</v>
      </c>
      <c r="E281" s="394"/>
      <c r="F281" s="394"/>
      <c r="G281" s="394"/>
      <c r="H281" s="394"/>
      <c r="I281" s="394"/>
      <c r="J281" s="394"/>
    </row>
    <row r="282" spans="1:12" s="100" customFormat="1" ht="15.95" customHeight="1" outlineLevel="1">
      <c r="A282" s="138" t="s">
        <v>660</v>
      </c>
      <c r="B282" s="5">
        <v>97644</v>
      </c>
      <c r="C282" s="5" t="s">
        <v>18</v>
      </c>
      <c r="D282" s="106" t="s">
        <v>463</v>
      </c>
      <c r="E282" s="109" t="s">
        <v>116</v>
      </c>
      <c r="F282" s="64">
        <f>2.1*0.9</f>
        <v>1.8900000000000001</v>
      </c>
      <c r="G282" s="116"/>
      <c r="H282" s="241">
        <f t="shared" ref="H282:H286" si="47">TRUNC((G282*(1+$I$12)),2)</f>
        <v>0</v>
      </c>
      <c r="I282" s="117">
        <f>ROUND((F282*H282),2)</f>
        <v>0</v>
      </c>
      <c r="J282" s="246" t="e">
        <f t="shared" ref="J282:J309" si="48">(I282/$I$1421)</f>
        <v>#DIV/0!</v>
      </c>
    </row>
    <row r="283" spans="1:12" s="100" customFormat="1" ht="27" outlineLevel="1">
      <c r="A283" s="138" t="s">
        <v>661</v>
      </c>
      <c r="B283" s="5">
        <v>97640</v>
      </c>
      <c r="C283" s="5" t="s">
        <v>18</v>
      </c>
      <c r="D283" s="106" t="s">
        <v>1797</v>
      </c>
      <c r="E283" s="109" t="s">
        <v>116</v>
      </c>
      <c r="F283" s="64">
        <v>49.35</v>
      </c>
      <c r="G283" s="241"/>
      <c r="H283" s="241">
        <f t="shared" si="47"/>
        <v>0</v>
      </c>
      <c r="I283" s="117">
        <f t="shared" ref="I283:I308" si="49">ROUND((F283*H283),2)</f>
        <v>0</v>
      </c>
      <c r="J283" s="246" t="e">
        <f t="shared" si="48"/>
        <v>#DIV/0!</v>
      </c>
    </row>
    <row r="284" spans="1:12" s="100" customFormat="1" ht="15.95" customHeight="1" outlineLevel="1">
      <c r="A284" s="138" t="s">
        <v>662</v>
      </c>
      <c r="B284" s="63" t="s">
        <v>135</v>
      </c>
      <c r="C284" s="63" t="s">
        <v>7</v>
      </c>
      <c r="D284" s="65" t="s">
        <v>383</v>
      </c>
      <c r="E284" s="66" t="s">
        <v>115</v>
      </c>
      <c r="F284" s="64">
        <v>54.45</v>
      </c>
      <c r="G284" s="330"/>
      <c r="H284" s="329">
        <f t="shared" si="47"/>
        <v>0</v>
      </c>
      <c r="I284" s="117">
        <f t="shared" si="49"/>
        <v>0</v>
      </c>
      <c r="J284" s="246" t="e">
        <f t="shared" si="48"/>
        <v>#DIV/0!</v>
      </c>
    </row>
    <row r="285" spans="1:12" s="100" customFormat="1" ht="27" outlineLevel="1">
      <c r="A285" s="138" t="s">
        <v>663</v>
      </c>
      <c r="B285" s="63">
        <v>97660</v>
      </c>
      <c r="C285" s="63" t="s">
        <v>18</v>
      </c>
      <c r="D285" s="65" t="s">
        <v>1798</v>
      </c>
      <c r="E285" s="66" t="s">
        <v>221</v>
      </c>
      <c r="F285" s="64">
        <v>3</v>
      </c>
      <c r="G285" s="330"/>
      <c r="H285" s="329">
        <f t="shared" si="47"/>
        <v>0</v>
      </c>
      <c r="I285" s="117">
        <f t="shared" si="49"/>
        <v>0</v>
      </c>
      <c r="J285" s="246" t="e">
        <f t="shared" si="48"/>
        <v>#DIV/0!</v>
      </c>
    </row>
    <row r="286" spans="1:12" s="100" customFormat="1" ht="15.75" customHeight="1" outlineLevel="1">
      <c r="A286" s="138" t="s">
        <v>664</v>
      </c>
      <c r="B286" s="63">
        <v>97665</v>
      </c>
      <c r="C286" s="63" t="s">
        <v>18</v>
      </c>
      <c r="D286" s="65" t="s">
        <v>1799</v>
      </c>
      <c r="E286" s="66" t="s">
        <v>221</v>
      </c>
      <c r="F286" s="64">
        <v>4</v>
      </c>
      <c r="G286" s="330"/>
      <c r="H286" s="329">
        <f t="shared" si="47"/>
        <v>0</v>
      </c>
      <c r="I286" s="117">
        <f t="shared" si="49"/>
        <v>0</v>
      </c>
      <c r="J286" s="246" t="e">
        <f t="shared" si="48"/>
        <v>#DIV/0!</v>
      </c>
    </row>
    <row r="287" spans="1:12" s="100" customFormat="1" ht="15.95" customHeight="1" outlineLevel="1">
      <c r="A287" s="138" t="s">
        <v>665</v>
      </c>
      <c r="B287" s="63" t="s">
        <v>126</v>
      </c>
      <c r="C287" s="63" t="s">
        <v>9</v>
      </c>
      <c r="D287" s="65" t="s">
        <v>386</v>
      </c>
      <c r="E287" s="66" t="s">
        <v>115</v>
      </c>
      <c r="F287" s="64">
        <v>27.2</v>
      </c>
      <c r="G287" s="330" t="s">
        <v>10</v>
      </c>
      <c r="H287" s="121"/>
      <c r="I287" s="117">
        <f t="shared" si="49"/>
        <v>0</v>
      </c>
      <c r="J287" s="246" t="e">
        <f t="shared" si="48"/>
        <v>#DIV/0!</v>
      </c>
    </row>
    <row r="288" spans="1:12" s="100" customFormat="1" ht="15.95" customHeight="1" outlineLevel="1">
      <c r="A288" s="138" t="s">
        <v>666</v>
      </c>
      <c r="B288" s="63" t="s">
        <v>125</v>
      </c>
      <c r="C288" s="63" t="s">
        <v>7</v>
      </c>
      <c r="D288" s="65" t="s">
        <v>592</v>
      </c>
      <c r="E288" s="68" t="s">
        <v>116</v>
      </c>
      <c r="F288" s="64">
        <v>6.89</v>
      </c>
      <c r="G288" s="330"/>
      <c r="H288" s="329">
        <f>TRUNC((G288*(1+$I$12)),2)</f>
        <v>0</v>
      </c>
      <c r="I288" s="117">
        <f t="shared" si="49"/>
        <v>0</v>
      </c>
      <c r="J288" s="246" t="e">
        <f t="shared" si="48"/>
        <v>#DIV/0!</v>
      </c>
    </row>
    <row r="289" spans="1:12" s="100" customFormat="1" ht="15.95" customHeight="1" outlineLevel="1">
      <c r="A289" s="138" t="s">
        <v>667</v>
      </c>
      <c r="B289" s="63" t="s">
        <v>32</v>
      </c>
      <c r="C289" s="63" t="s">
        <v>9</v>
      </c>
      <c r="D289" s="65" t="s">
        <v>598</v>
      </c>
      <c r="E289" s="68" t="s">
        <v>218</v>
      </c>
      <c r="F289" s="64">
        <f>49.49*0.1</f>
        <v>4.9490000000000007</v>
      </c>
      <c r="G289" s="139" t="s">
        <v>10</v>
      </c>
      <c r="H289" s="124"/>
      <c r="I289" s="117">
        <f t="shared" si="49"/>
        <v>0</v>
      </c>
      <c r="J289" s="246" t="e">
        <f t="shared" si="48"/>
        <v>#DIV/0!</v>
      </c>
    </row>
    <row r="290" spans="1:12" s="100" customFormat="1" ht="40.5" outlineLevel="1">
      <c r="A290" s="138" t="s">
        <v>668</v>
      </c>
      <c r="B290" s="63">
        <v>100983</v>
      </c>
      <c r="C290" s="63" t="s">
        <v>18</v>
      </c>
      <c r="D290" s="65" t="s">
        <v>1896</v>
      </c>
      <c r="E290" s="86" t="s">
        <v>218</v>
      </c>
      <c r="F290" s="80">
        <f>(0.1+0.04+1.48+0.01+0.35+0.5+0.5+0.08+4.95+0.5)*1.3</f>
        <v>11.063000000000001</v>
      </c>
      <c r="G290" s="124"/>
      <c r="H290" s="350">
        <f t="shared" ref="H290:H292" si="50">TRUNC((G290*(1+$I$12)),2)</f>
        <v>0</v>
      </c>
      <c r="I290" s="117">
        <f t="shared" si="49"/>
        <v>0</v>
      </c>
      <c r="J290" s="231" t="e">
        <f t="shared" si="48"/>
        <v>#DIV/0!</v>
      </c>
    </row>
    <row r="291" spans="1:12" s="100" customFormat="1" ht="27" outlineLevel="1">
      <c r="A291" s="138" t="s">
        <v>669</v>
      </c>
      <c r="B291" s="63">
        <v>95875</v>
      </c>
      <c r="C291" s="63" t="s">
        <v>18</v>
      </c>
      <c r="D291" s="65" t="s">
        <v>1898</v>
      </c>
      <c r="E291" s="86" t="s">
        <v>1897</v>
      </c>
      <c r="F291" s="80">
        <f>F290*4</f>
        <v>44.252000000000002</v>
      </c>
      <c r="G291" s="124"/>
      <c r="H291" s="350">
        <f t="shared" si="50"/>
        <v>0</v>
      </c>
      <c r="I291" s="117">
        <f t="shared" si="49"/>
        <v>0</v>
      </c>
      <c r="J291" s="231" t="e">
        <f t="shared" si="48"/>
        <v>#DIV/0!</v>
      </c>
    </row>
    <row r="292" spans="1:12" s="157" customFormat="1" ht="27" outlineLevel="1">
      <c r="A292" s="138" t="s">
        <v>670</v>
      </c>
      <c r="B292" s="63">
        <v>97084</v>
      </c>
      <c r="C292" s="63" t="s">
        <v>18</v>
      </c>
      <c r="D292" s="65" t="s">
        <v>791</v>
      </c>
      <c r="E292" s="68" t="s">
        <v>116</v>
      </c>
      <c r="F292" s="64">
        <v>49.49</v>
      </c>
      <c r="G292" s="350"/>
      <c r="H292" s="329">
        <f t="shared" si="50"/>
        <v>0</v>
      </c>
      <c r="I292" s="117">
        <f t="shared" si="49"/>
        <v>0</v>
      </c>
      <c r="J292" s="246" t="e">
        <f t="shared" si="48"/>
        <v>#DIV/0!</v>
      </c>
    </row>
    <row r="293" spans="1:12" s="100" customFormat="1" ht="27" outlineLevel="1">
      <c r="A293" s="138" t="s">
        <v>671</v>
      </c>
      <c r="B293" s="128">
        <v>96622</v>
      </c>
      <c r="C293" s="128" t="s">
        <v>18</v>
      </c>
      <c r="D293" s="82" t="s">
        <v>1895</v>
      </c>
      <c r="E293" s="88" t="s">
        <v>218</v>
      </c>
      <c r="F293" s="75">
        <f>F292*0.05</f>
        <v>2.4745000000000004</v>
      </c>
      <c r="G293" s="145"/>
      <c r="H293" s="329">
        <f>TRUNC((G293*(1+$I$12)),2)</f>
        <v>0</v>
      </c>
      <c r="I293" s="117">
        <f t="shared" si="49"/>
        <v>0</v>
      </c>
      <c r="J293" s="246" t="e">
        <f t="shared" si="48"/>
        <v>#DIV/0!</v>
      </c>
    </row>
    <row r="294" spans="1:12" s="100" customFormat="1" ht="27" outlineLevel="1">
      <c r="A294" s="138" t="s">
        <v>672</v>
      </c>
      <c r="B294" s="128">
        <v>95241</v>
      </c>
      <c r="C294" s="128" t="s">
        <v>18</v>
      </c>
      <c r="D294" s="82" t="s">
        <v>1894</v>
      </c>
      <c r="E294" s="88" t="s">
        <v>116</v>
      </c>
      <c r="F294" s="75">
        <f>F292</f>
        <v>49.49</v>
      </c>
      <c r="G294" s="145"/>
      <c r="H294" s="329">
        <f>TRUNC((G294*(1+$I$12)),2)</f>
        <v>0</v>
      </c>
      <c r="I294" s="117">
        <f t="shared" si="49"/>
        <v>0</v>
      </c>
      <c r="J294" s="246" t="e">
        <f t="shared" si="48"/>
        <v>#DIV/0!</v>
      </c>
    </row>
    <row r="295" spans="1:12" s="100" customFormat="1" ht="40.5" outlineLevel="1">
      <c r="A295" s="138" t="s">
        <v>673</v>
      </c>
      <c r="B295" s="63">
        <v>104162</v>
      </c>
      <c r="C295" s="63" t="s">
        <v>18</v>
      </c>
      <c r="D295" s="65" t="s">
        <v>387</v>
      </c>
      <c r="E295" s="66" t="s">
        <v>116</v>
      </c>
      <c r="F295" s="64">
        <v>49.49</v>
      </c>
      <c r="G295" s="330"/>
      <c r="H295" s="329">
        <f t="shared" ref="H295:H303" si="51">TRUNC((G295*(1+$I$12)),2)</f>
        <v>0</v>
      </c>
      <c r="I295" s="117">
        <f t="shared" si="49"/>
        <v>0</v>
      </c>
      <c r="J295" s="246" t="e">
        <f t="shared" si="48"/>
        <v>#DIV/0!</v>
      </c>
      <c r="K295" s="100">
        <f>((2*2.1*0.15)+(0.9*0.15))</f>
        <v>0.76500000000000001</v>
      </c>
    </row>
    <row r="296" spans="1:12" s="100" customFormat="1" ht="15.95" customHeight="1" outlineLevel="1">
      <c r="A296" s="138" t="s">
        <v>674</v>
      </c>
      <c r="B296" s="63">
        <v>101741</v>
      </c>
      <c r="C296" s="63" t="s">
        <v>18</v>
      </c>
      <c r="D296" s="65" t="s">
        <v>388</v>
      </c>
      <c r="E296" s="66" t="s">
        <v>115</v>
      </c>
      <c r="F296" s="64">
        <v>27.2</v>
      </c>
      <c r="G296" s="330"/>
      <c r="H296" s="329">
        <f t="shared" si="51"/>
        <v>0</v>
      </c>
      <c r="I296" s="117">
        <f t="shared" si="49"/>
        <v>0</v>
      </c>
      <c r="J296" s="246" t="e">
        <f t="shared" si="48"/>
        <v>#DIV/0!</v>
      </c>
      <c r="K296" s="100">
        <f>(((13.75*2.76))-((0.9*2.1)+(3.4*1.5)))</f>
        <v>30.959999999999994</v>
      </c>
    </row>
    <row r="297" spans="1:12" s="100" customFormat="1" ht="27" outlineLevel="1">
      <c r="A297" s="138" t="s">
        <v>675</v>
      </c>
      <c r="B297" s="63">
        <v>96116</v>
      </c>
      <c r="C297" s="63" t="s">
        <v>18</v>
      </c>
      <c r="D297" s="65" t="s">
        <v>593</v>
      </c>
      <c r="E297" s="66" t="s">
        <v>116</v>
      </c>
      <c r="F297" s="64">
        <v>49.35</v>
      </c>
      <c r="G297" s="330"/>
      <c r="H297" s="329">
        <f t="shared" si="51"/>
        <v>0</v>
      </c>
      <c r="I297" s="117">
        <f t="shared" si="49"/>
        <v>0</v>
      </c>
      <c r="J297" s="246" t="e">
        <f t="shared" si="48"/>
        <v>#DIV/0!</v>
      </c>
    </row>
    <row r="298" spans="1:12" s="100" customFormat="1" ht="19.5" customHeight="1" outlineLevel="1">
      <c r="A298" s="138" t="s">
        <v>676</v>
      </c>
      <c r="B298" s="63" t="s">
        <v>10</v>
      </c>
      <c r="C298" s="63" t="str">
        <f>[1]Composições!$I$114</f>
        <v>COMP08</v>
      </c>
      <c r="D298" s="65" t="str">
        <f>[1]Composições!$B$114</f>
        <v>REQUADRO DE PORTAS E JANELAS</v>
      </c>
      <c r="E298" s="66" t="s">
        <v>116</v>
      </c>
      <c r="F298" s="64">
        <v>0.77</v>
      </c>
      <c r="G298" s="330"/>
      <c r="H298" s="329">
        <f t="shared" si="51"/>
        <v>0</v>
      </c>
      <c r="I298" s="117">
        <f t="shared" si="49"/>
        <v>0</v>
      </c>
      <c r="J298" s="246" t="e">
        <f t="shared" si="48"/>
        <v>#DIV/0!</v>
      </c>
    </row>
    <row r="299" spans="1:12" s="100" customFormat="1" ht="40.5" outlineLevel="1">
      <c r="A299" s="138" t="s">
        <v>677</v>
      </c>
      <c r="B299" s="63">
        <v>90844</v>
      </c>
      <c r="C299" s="63" t="s">
        <v>18</v>
      </c>
      <c r="D299" s="65" t="s">
        <v>392</v>
      </c>
      <c r="E299" s="66" t="s">
        <v>221</v>
      </c>
      <c r="F299" s="64">
        <v>1</v>
      </c>
      <c r="G299" s="330"/>
      <c r="H299" s="329">
        <f t="shared" si="51"/>
        <v>0</v>
      </c>
      <c r="I299" s="117">
        <f t="shared" si="49"/>
        <v>0</v>
      </c>
      <c r="J299" s="246" t="e">
        <f t="shared" si="48"/>
        <v>#DIV/0!</v>
      </c>
      <c r="K299" s="100">
        <f>((28.1*1)-(0.9*1))</f>
        <v>27.200000000000003</v>
      </c>
    </row>
    <row r="300" spans="1:12" s="100" customFormat="1" ht="15.95" customHeight="1" outlineLevel="1">
      <c r="A300" s="138" t="s">
        <v>678</v>
      </c>
      <c r="B300" s="63">
        <v>88495</v>
      </c>
      <c r="C300" s="63" t="s">
        <v>18</v>
      </c>
      <c r="D300" s="65" t="s">
        <v>393</v>
      </c>
      <c r="E300" s="66" t="s">
        <v>116</v>
      </c>
      <c r="F300" s="64">
        <v>36.58</v>
      </c>
      <c r="G300" s="137"/>
      <c r="H300" s="117">
        <f t="shared" si="51"/>
        <v>0</v>
      </c>
      <c r="I300" s="117">
        <f t="shared" si="49"/>
        <v>0</v>
      </c>
      <c r="J300" s="246" t="e">
        <f t="shared" si="48"/>
        <v>#DIV/0!</v>
      </c>
    </row>
    <row r="301" spans="1:12" s="100" customFormat="1" outlineLevel="1">
      <c r="A301" s="138" t="s">
        <v>679</v>
      </c>
      <c r="B301" s="63">
        <v>88489</v>
      </c>
      <c r="C301" s="63" t="s">
        <v>18</v>
      </c>
      <c r="D301" s="65" t="s">
        <v>36</v>
      </c>
      <c r="E301" s="66" t="s">
        <v>116</v>
      </c>
      <c r="F301" s="64">
        <v>36.58</v>
      </c>
      <c r="G301" s="137"/>
      <c r="H301" s="117">
        <f t="shared" si="51"/>
        <v>0</v>
      </c>
      <c r="I301" s="117">
        <f t="shared" si="49"/>
        <v>0</v>
      </c>
      <c r="J301" s="246" t="e">
        <f t="shared" si="48"/>
        <v>#DIV/0!</v>
      </c>
    </row>
    <row r="302" spans="1:12" s="100" customFormat="1" ht="15.95" customHeight="1" outlineLevel="1">
      <c r="A302" s="138" t="s">
        <v>680</v>
      </c>
      <c r="B302" s="63" t="s">
        <v>256</v>
      </c>
      <c r="C302" s="63" t="s">
        <v>7</v>
      </c>
      <c r="D302" s="65" t="s">
        <v>596</v>
      </c>
      <c r="E302" s="66" t="s">
        <v>116</v>
      </c>
      <c r="F302" s="64">
        <v>27.2</v>
      </c>
      <c r="G302" s="137"/>
      <c r="H302" s="117">
        <f t="shared" si="51"/>
        <v>0</v>
      </c>
      <c r="I302" s="117">
        <f t="shared" si="49"/>
        <v>0</v>
      </c>
      <c r="J302" s="246" t="e">
        <f t="shared" si="48"/>
        <v>#DIV/0!</v>
      </c>
      <c r="K302" s="135" t="e">
        <f>I289+I294+I295+I296+#REF!+#REF!</f>
        <v>#REF!</v>
      </c>
      <c r="L302" s="135"/>
    </row>
    <row r="303" spans="1:12" s="100" customFormat="1" ht="15.95" customHeight="1" outlineLevel="1">
      <c r="A303" s="138" t="s">
        <v>681</v>
      </c>
      <c r="B303" s="63" t="s">
        <v>595</v>
      </c>
      <c r="C303" s="63" t="s">
        <v>7</v>
      </c>
      <c r="D303" s="65" t="s">
        <v>594</v>
      </c>
      <c r="E303" s="66" t="s">
        <v>116</v>
      </c>
      <c r="F303" s="64">
        <v>6.89</v>
      </c>
      <c r="G303" s="243"/>
      <c r="H303" s="117">
        <f t="shared" si="51"/>
        <v>0</v>
      </c>
      <c r="I303" s="117">
        <f t="shared" si="49"/>
        <v>0</v>
      </c>
      <c r="J303" s="246" t="e">
        <f t="shared" si="48"/>
        <v>#DIV/0!</v>
      </c>
      <c r="K303" s="135" t="e">
        <f>K302*10</f>
        <v>#REF!</v>
      </c>
      <c r="L303" s="135"/>
    </row>
    <row r="304" spans="1:12" s="100" customFormat="1" outlineLevel="1">
      <c r="A304" s="138" t="s">
        <v>682</v>
      </c>
      <c r="B304" s="63" t="s">
        <v>131</v>
      </c>
      <c r="C304" s="63" t="s">
        <v>9</v>
      </c>
      <c r="D304" s="65" t="s">
        <v>602</v>
      </c>
      <c r="E304" s="66" t="s">
        <v>115</v>
      </c>
      <c r="F304" s="64">
        <v>5.3</v>
      </c>
      <c r="G304" s="147" t="s">
        <v>10</v>
      </c>
      <c r="H304" s="117"/>
      <c r="I304" s="117">
        <f t="shared" si="49"/>
        <v>0</v>
      </c>
      <c r="J304" s="246" t="e">
        <f t="shared" si="48"/>
        <v>#DIV/0!</v>
      </c>
      <c r="K304" s="135"/>
      <c r="L304" s="135"/>
    </row>
    <row r="305" spans="1:11" s="100" customFormat="1" ht="27" outlineLevel="1">
      <c r="A305" s="138" t="s">
        <v>683</v>
      </c>
      <c r="B305" s="63">
        <v>102219</v>
      </c>
      <c r="C305" s="63" t="s">
        <v>18</v>
      </c>
      <c r="D305" s="65" t="s">
        <v>600</v>
      </c>
      <c r="E305" s="66" t="s">
        <v>116</v>
      </c>
      <c r="F305" s="64">
        <v>5.67</v>
      </c>
      <c r="G305" s="137"/>
      <c r="H305" s="117">
        <f t="shared" ref="H305" si="52">TRUNC((G305*(1+$I$12)),2)</f>
        <v>0</v>
      </c>
      <c r="I305" s="117">
        <f t="shared" si="49"/>
        <v>0</v>
      </c>
      <c r="J305" s="246" t="e">
        <f t="shared" si="48"/>
        <v>#DIV/0!</v>
      </c>
    </row>
    <row r="306" spans="1:11" s="100" customFormat="1" ht="15.75" customHeight="1" outlineLevel="1">
      <c r="A306" s="138" t="s">
        <v>684</v>
      </c>
      <c r="B306" s="63" t="s">
        <v>11</v>
      </c>
      <c r="C306" s="63" t="s">
        <v>9</v>
      </c>
      <c r="D306" s="65" t="s">
        <v>398</v>
      </c>
      <c r="E306" s="66" t="s">
        <v>116</v>
      </c>
      <c r="F306" s="64">
        <v>10.199999999999999</v>
      </c>
      <c r="G306" s="243" t="s">
        <v>10</v>
      </c>
      <c r="H306" s="121"/>
      <c r="I306" s="117">
        <f t="shared" si="49"/>
        <v>0</v>
      </c>
      <c r="J306" s="246" t="e">
        <f t="shared" si="48"/>
        <v>#DIV/0!</v>
      </c>
    </row>
    <row r="307" spans="1:11" s="100" customFormat="1" ht="15.75" customHeight="1" outlineLevel="1">
      <c r="A307" s="138" t="s">
        <v>685</v>
      </c>
      <c r="B307" s="63" t="s">
        <v>597</v>
      </c>
      <c r="C307" s="63" t="s">
        <v>9</v>
      </c>
      <c r="D307" s="65" t="s">
        <v>601</v>
      </c>
      <c r="E307" s="66" t="s">
        <v>218</v>
      </c>
      <c r="F307" s="64">
        <v>0.19</v>
      </c>
      <c r="G307" s="243" t="s">
        <v>10</v>
      </c>
      <c r="H307" s="121"/>
      <c r="I307" s="117">
        <f t="shared" si="49"/>
        <v>0</v>
      </c>
      <c r="J307" s="246" t="e">
        <f t="shared" si="48"/>
        <v>#DIV/0!</v>
      </c>
    </row>
    <row r="308" spans="1:11" s="100" customFormat="1" ht="27" outlineLevel="1">
      <c r="A308" s="138" t="s">
        <v>896</v>
      </c>
      <c r="B308" s="63">
        <v>102219</v>
      </c>
      <c r="C308" s="63" t="s">
        <v>18</v>
      </c>
      <c r="D308" s="65" t="s">
        <v>599</v>
      </c>
      <c r="E308" s="66" t="s">
        <v>116</v>
      </c>
      <c r="F308" s="64">
        <f>F307/0.03</f>
        <v>6.3333333333333339</v>
      </c>
      <c r="G308" s="241"/>
      <c r="H308" s="121">
        <f t="shared" ref="H308" si="53">TRUNC((G308*(1+$I$12)),2)</f>
        <v>0</v>
      </c>
      <c r="I308" s="117">
        <f t="shared" si="49"/>
        <v>0</v>
      </c>
      <c r="J308" s="246" t="e">
        <f t="shared" si="48"/>
        <v>#DIV/0!</v>
      </c>
    </row>
    <row r="309" spans="1:11" s="100" customFormat="1" ht="15.95" customHeight="1" outlineLevel="1">
      <c r="A309" s="138" t="s">
        <v>1909</v>
      </c>
      <c r="B309" s="63" t="s">
        <v>10</v>
      </c>
      <c r="C309" s="63" t="str">
        <f>[1]Composições!$I$107</f>
        <v>COMP07</v>
      </c>
      <c r="D309" s="65" t="str">
        <f>[1]Composições!$B$107</f>
        <v>INSTALAÇÃO DE VENTILADOR</v>
      </c>
      <c r="E309" s="66" t="s">
        <v>221</v>
      </c>
      <c r="F309" s="64">
        <v>2</v>
      </c>
      <c r="G309" s="137"/>
      <c r="H309" s="329">
        <f>TRUNC((G309*(1+$I$12)),2)</f>
        <v>0</v>
      </c>
      <c r="I309" s="117">
        <f>ROUND((F309*H309),2)</f>
        <v>0</v>
      </c>
      <c r="J309" s="246" t="e">
        <f t="shared" si="48"/>
        <v>#DIV/0!</v>
      </c>
    </row>
    <row r="310" spans="1:11" ht="15.95" customHeight="1">
      <c r="A310" s="395" t="s">
        <v>1957</v>
      </c>
      <c r="B310" s="396"/>
      <c r="C310" s="396"/>
      <c r="D310" s="396"/>
      <c r="E310" s="396"/>
      <c r="F310" s="396"/>
      <c r="G310" s="396"/>
      <c r="H310" s="397"/>
      <c r="I310" s="176">
        <f>SUM(I282:I309)</f>
        <v>0</v>
      </c>
      <c r="J310" s="315" t="e">
        <f>SUM(J282:J309)</f>
        <v>#DIV/0!</v>
      </c>
      <c r="K310" s="318" t="e">
        <f>I310/$I$432</f>
        <v>#DIV/0!</v>
      </c>
    </row>
    <row r="311" spans="1:11" ht="15.95" customHeight="1">
      <c r="A311" s="61" t="s">
        <v>686</v>
      </c>
      <c r="B311" s="394"/>
      <c r="C311" s="394"/>
      <c r="D311" s="143" t="s">
        <v>151</v>
      </c>
      <c r="E311" s="394"/>
      <c r="F311" s="394"/>
      <c r="G311" s="394"/>
      <c r="H311" s="394"/>
      <c r="I311" s="394"/>
      <c r="J311" s="394"/>
    </row>
    <row r="312" spans="1:11" s="100" customFormat="1" ht="15.95" customHeight="1" outlineLevel="1">
      <c r="A312" s="138" t="s">
        <v>687</v>
      </c>
      <c r="B312" s="5">
        <v>97644</v>
      </c>
      <c r="C312" s="5" t="s">
        <v>18</v>
      </c>
      <c r="D312" s="106" t="s">
        <v>463</v>
      </c>
      <c r="E312" s="109" t="s">
        <v>116</v>
      </c>
      <c r="F312" s="64">
        <f>2.1*0.9</f>
        <v>1.8900000000000001</v>
      </c>
      <c r="G312" s="116"/>
      <c r="H312" s="241">
        <f t="shared" ref="H312:H316" si="54">TRUNC((G312*(1+$I$12)),2)</f>
        <v>0</v>
      </c>
      <c r="I312" s="117">
        <f>ROUND((F312*H312),2)</f>
        <v>0</v>
      </c>
      <c r="J312" s="246" t="e">
        <f t="shared" ref="J312:J339" si="55">(I312/$I$1421)</f>
        <v>#DIV/0!</v>
      </c>
    </row>
    <row r="313" spans="1:11" s="100" customFormat="1" ht="27" outlineLevel="1">
      <c r="A313" s="138" t="s">
        <v>688</v>
      </c>
      <c r="B313" s="5">
        <v>97640</v>
      </c>
      <c r="C313" s="5" t="s">
        <v>18</v>
      </c>
      <c r="D313" s="106" t="s">
        <v>1797</v>
      </c>
      <c r="E313" s="109" t="s">
        <v>116</v>
      </c>
      <c r="F313" s="64">
        <v>49.35</v>
      </c>
      <c r="G313" s="137"/>
      <c r="H313" s="333">
        <f t="shared" si="54"/>
        <v>0</v>
      </c>
      <c r="I313" s="117">
        <f t="shared" ref="I313:I338" si="56">ROUND((F313*H313),2)</f>
        <v>0</v>
      </c>
      <c r="J313" s="246" t="e">
        <f t="shared" si="55"/>
        <v>#DIV/0!</v>
      </c>
    </row>
    <row r="314" spans="1:11" s="100" customFormat="1" ht="15.95" customHeight="1" outlineLevel="1">
      <c r="A314" s="138" t="s">
        <v>689</v>
      </c>
      <c r="B314" s="63" t="s">
        <v>135</v>
      </c>
      <c r="C314" s="63" t="s">
        <v>7</v>
      </c>
      <c r="D314" s="65" t="s">
        <v>383</v>
      </c>
      <c r="E314" s="66" t="s">
        <v>115</v>
      </c>
      <c r="F314" s="64">
        <v>54.45</v>
      </c>
      <c r="G314" s="335"/>
      <c r="H314" s="333">
        <f t="shared" si="54"/>
        <v>0</v>
      </c>
      <c r="I314" s="117">
        <f t="shared" si="56"/>
        <v>0</v>
      </c>
      <c r="J314" s="246" t="e">
        <f t="shared" si="55"/>
        <v>#DIV/0!</v>
      </c>
    </row>
    <row r="315" spans="1:11" s="100" customFormat="1" ht="27" outlineLevel="1">
      <c r="A315" s="138" t="s">
        <v>690</v>
      </c>
      <c r="B315" s="63">
        <v>97660</v>
      </c>
      <c r="C315" s="63" t="s">
        <v>18</v>
      </c>
      <c r="D315" s="65" t="s">
        <v>1798</v>
      </c>
      <c r="E315" s="66" t="s">
        <v>221</v>
      </c>
      <c r="F315" s="64">
        <v>3</v>
      </c>
      <c r="G315" s="335"/>
      <c r="H315" s="333">
        <f t="shared" si="54"/>
        <v>0</v>
      </c>
      <c r="I315" s="117">
        <f t="shared" si="56"/>
        <v>0</v>
      </c>
      <c r="J315" s="246" t="e">
        <f t="shared" si="55"/>
        <v>#DIV/0!</v>
      </c>
    </row>
    <row r="316" spans="1:11" s="100" customFormat="1" ht="15.75" customHeight="1" outlineLevel="1">
      <c r="A316" s="138" t="s">
        <v>691</v>
      </c>
      <c r="B316" s="63">
        <v>97665</v>
      </c>
      <c r="C316" s="63" t="s">
        <v>18</v>
      </c>
      <c r="D316" s="65" t="s">
        <v>1799</v>
      </c>
      <c r="E316" s="66" t="s">
        <v>221</v>
      </c>
      <c r="F316" s="64">
        <v>4</v>
      </c>
      <c r="G316" s="335"/>
      <c r="H316" s="333">
        <f t="shared" si="54"/>
        <v>0</v>
      </c>
      <c r="I316" s="117">
        <f t="shared" si="56"/>
        <v>0</v>
      </c>
      <c r="J316" s="246" t="e">
        <f t="shared" si="55"/>
        <v>#DIV/0!</v>
      </c>
    </row>
    <row r="317" spans="1:11" s="100" customFormat="1" ht="15.95" customHeight="1" outlineLevel="1">
      <c r="A317" s="138" t="s">
        <v>692</v>
      </c>
      <c r="B317" s="63" t="s">
        <v>126</v>
      </c>
      <c r="C317" s="63" t="s">
        <v>9</v>
      </c>
      <c r="D317" s="65" t="s">
        <v>386</v>
      </c>
      <c r="E317" s="66" t="s">
        <v>115</v>
      </c>
      <c r="F317" s="64">
        <v>27.2</v>
      </c>
      <c r="G317" s="335" t="s">
        <v>10</v>
      </c>
      <c r="H317" s="121"/>
      <c r="I317" s="117">
        <f t="shared" si="56"/>
        <v>0</v>
      </c>
      <c r="J317" s="246" t="e">
        <f t="shared" si="55"/>
        <v>#DIV/0!</v>
      </c>
    </row>
    <row r="318" spans="1:11" s="100" customFormat="1" ht="15.95" customHeight="1" outlineLevel="1">
      <c r="A318" s="138" t="s">
        <v>693</v>
      </c>
      <c r="B318" s="63" t="s">
        <v>125</v>
      </c>
      <c r="C318" s="63" t="s">
        <v>7</v>
      </c>
      <c r="D318" s="65" t="s">
        <v>592</v>
      </c>
      <c r="E318" s="68" t="s">
        <v>116</v>
      </c>
      <c r="F318" s="64">
        <v>6.89</v>
      </c>
      <c r="G318" s="335"/>
      <c r="H318" s="333">
        <f>TRUNC((G318*(1+$I$12)),2)</f>
        <v>0</v>
      </c>
      <c r="I318" s="117">
        <f t="shared" si="56"/>
        <v>0</v>
      </c>
      <c r="J318" s="246" t="e">
        <f t="shared" si="55"/>
        <v>#DIV/0!</v>
      </c>
    </row>
    <row r="319" spans="1:11" s="100" customFormat="1" ht="15.95" customHeight="1" outlineLevel="1">
      <c r="A319" s="138" t="s">
        <v>694</v>
      </c>
      <c r="B319" s="63" t="s">
        <v>32</v>
      </c>
      <c r="C319" s="63" t="s">
        <v>9</v>
      </c>
      <c r="D319" s="65" t="s">
        <v>598</v>
      </c>
      <c r="E319" s="68" t="s">
        <v>218</v>
      </c>
      <c r="F319" s="64">
        <f>49.49*0.1</f>
        <v>4.9490000000000007</v>
      </c>
      <c r="G319" s="139" t="s">
        <v>10</v>
      </c>
      <c r="H319" s="124"/>
      <c r="I319" s="117">
        <f t="shared" si="56"/>
        <v>0</v>
      </c>
      <c r="J319" s="246" t="e">
        <f t="shared" si="55"/>
        <v>#DIV/0!</v>
      </c>
    </row>
    <row r="320" spans="1:11" s="100" customFormat="1" ht="40.5" outlineLevel="1">
      <c r="A320" s="138" t="s">
        <v>695</v>
      </c>
      <c r="B320" s="63">
        <v>100983</v>
      </c>
      <c r="C320" s="63" t="s">
        <v>18</v>
      </c>
      <c r="D320" s="65" t="s">
        <v>1896</v>
      </c>
      <c r="E320" s="86" t="s">
        <v>218</v>
      </c>
      <c r="F320" s="80">
        <f>(0.1+0.04+1.48+0.01+0.35+0.5+0.5+0.08+4.95+0.5)*1.3</f>
        <v>11.063000000000001</v>
      </c>
      <c r="G320" s="124"/>
      <c r="H320" s="350">
        <f t="shared" ref="H320:H322" si="57">TRUNC((G320*(1+$I$12)),2)</f>
        <v>0</v>
      </c>
      <c r="I320" s="117">
        <f t="shared" si="56"/>
        <v>0</v>
      </c>
      <c r="J320" s="231" t="e">
        <f t="shared" si="55"/>
        <v>#DIV/0!</v>
      </c>
    </row>
    <row r="321" spans="1:12" s="100" customFormat="1" ht="27" outlineLevel="1">
      <c r="A321" s="138" t="s">
        <v>696</v>
      </c>
      <c r="B321" s="63">
        <v>95875</v>
      </c>
      <c r="C321" s="63" t="s">
        <v>18</v>
      </c>
      <c r="D321" s="65" t="s">
        <v>1898</v>
      </c>
      <c r="E321" s="86" t="s">
        <v>1897</v>
      </c>
      <c r="F321" s="80">
        <f>F320*4</f>
        <v>44.252000000000002</v>
      </c>
      <c r="G321" s="124"/>
      <c r="H321" s="350">
        <f t="shared" si="57"/>
        <v>0</v>
      </c>
      <c r="I321" s="117">
        <f t="shared" si="56"/>
        <v>0</v>
      </c>
      <c r="J321" s="231" t="e">
        <f t="shared" si="55"/>
        <v>#DIV/0!</v>
      </c>
    </row>
    <row r="322" spans="1:12" s="157" customFormat="1" ht="27" outlineLevel="1">
      <c r="A322" s="138" t="s">
        <v>697</v>
      </c>
      <c r="B322" s="63">
        <v>97084</v>
      </c>
      <c r="C322" s="63" t="s">
        <v>18</v>
      </c>
      <c r="D322" s="65" t="s">
        <v>791</v>
      </c>
      <c r="E322" s="68" t="s">
        <v>116</v>
      </c>
      <c r="F322" s="64">
        <v>49.49</v>
      </c>
      <c r="G322" s="350"/>
      <c r="H322" s="333">
        <f t="shared" si="57"/>
        <v>0</v>
      </c>
      <c r="I322" s="117">
        <f t="shared" si="56"/>
        <v>0</v>
      </c>
      <c r="J322" s="246" t="e">
        <f t="shared" si="55"/>
        <v>#DIV/0!</v>
      </c>
    </row>
    <row r="323" spans="1:12" s="100" customFormat="1" ht="27" outlineLevel="1">
      <c r="A323" s="138" t="s">
        <v>698</v>
      </c>
      <c r="B323" s="128">
        <v>96622</v>
      </c>
      <c r="C323" s="128" t="s">
        <v>18</v>
      </c>
      <c r="D323" s="82" t="s">
        <v>1895</v>
      </c>
      <c r="E323" s="88" t="s">
        <v>218</v>
      </c>
      <c r="F323" s="75">
        <f>F322*0.05</f>
        <v>2.4745000000000004</v>
      </c>
      <c r="G323" s="145"/>
      <c r="H323" s="333">
        <f>TRUNC((G323*(1+$I$12)),2)</f>
        <v>0</v>
      </c>
      <c r="I323" s="117">
        <f t="shared" si="56"/>
        <v>0</v>
      </c>
      <c r="J323" s="246" t="e">
        <f t="shared" si="55"/>
        <v>#DIV/0!</v>
      </c>
    </row>
    <row r="324" spans="1:12" s="100" customFormat="1" ht="27" outlineLevel="1">
      <c r="A324" s="138" t="s">
        <v>699</v>
      </c>
      <c r="B324" s="128">
        <v>95241</v>
      </c>
      <c r="C324" s="128" t="s">
        <v>18</v>
      </c>
      <c r="D324" s="82" t="s">
        <v>1894</v>
      </c>
      <c r="E324" s="88" t="s">
        <v>116</v>
      </c>
      <c r="F324" s="75">
        <f>F322</f>
        <v>49.49</v>
      </c>
      <c r="G324" s="145"/>
      <c r="H324" s="333">
        <f>TRUNC((G324*(1+$I$12)),2)</f>
        <v>0</v>
      </c>
      <c r="I324" s="117">
        <f t="shared" si="56"/>
        <v>0</v>
      </c>
      <c r="J324" s="246" t="e">
        <f t="shared" si="55"/>
        <v>#DIV/0!</v>
      </c>
    </row>
    <row r="325" spans="1:12" s="100" customFormat="1" ht="40.5" outlineLevel="1">
      <c r="A325" s="138" t="s">
        <v>700</v>
      </c>
      <c r="B325" s="63">
        <v>104162</v>
      </c>
      <c r="C325" s="63" t="s">
        <v>18</v>
      </c>
      <c r="D325" s="65" t="s">
        <v>387</v>
      </c>
      <c r="E325" s="66" t="s">
        <v>116</v>
      </c>
      <c r="F325" s="64">
        <v>49.49</v>
      </c>
      <c r="G325" s="335"/>
      <c r="H325" s="333">
        <f t="shared" ref="H325:H333" si="58">TRUNC((G325*(1+$I$12)),2)</f>
        <v>0</v>
      </c>
      <c r="I325" s="117">
        <f t="shared" si="56"/>
        <v>0</v>
      </c>
      <c r="J325" s="246" t="e">
        <f t="shared" si="55"/>
        <v>#DIV/0!</v>
      </c>
      <c r="K325" s="100">
        <f>((2*2.1*0.15)+(0.9*0.15))</f>
        <v>0.76500000000000001</v>
      </c>
    </row>
    <row r="326" spans="1:12" s="100" customFormat="1" ht="15.95" customHeight="1" outlineLevel="1">
      <c r="A326" s="138" t="s">
        <v>701</v>
      </c>
      <c r="B326" s="63">
        <v>101741</v>
      </c>
      <c r="C326" s="63" t="s">
        <v>18</v>
      </c>
      <c r="D326" s="65" t="s">
        <v>388</v>
      </c>
      <c r="E326" s="66" t="s">
        <v>115</v>
      </c>
      <c r="F326" s="64">
        <v>27.2</v>
      </c>
      <c r="G326" s="335"/>
      <c r="H326" s="333">
        <f t="shared" si="58"/>
        <v>0</v>
      </c>
      <c r="I326" s="117">
        <f t="shared" si="56"/>
        <v>0</v>
      </c>
      <c r="J326" s="246" t="e">
        <f t="shared" si="55"/>
        <v>#DIV/0!</v>
      </c>
      <c r="K326" s="100">
        <f>(((13.75*2.76))-((0.9*2.1)+(3.4*1.5)))</f>
        <v>30.959999999999994</v>
      </c>
    </row>
    <row r="327" spans="1:12" s="100" customFormat="1" ht="27" outlineLevel="1">
      <c r="A327" s="138" t="s">
        <v>702</v>
      </c>
      <c r="B327" s="63">
        <v>96116</v>
      </c>
      <c r="C327" s="63" t="s">
        <v>18</v>
      </c>
      <c r="D327" s="65" t="s">
        <v>593</v>
      </c>
      <c r="E327" s="66" t="s">
        <v>116</v>
      </c>
      <c r="F327" s="64">
        <v>49.35</v>
      </c>
      <c r="G327" s="335"/>
      <c r="H327" s="333">
        <f t="shared" si="58"/>
        <v>0</v>
      </c>
      <c r="I327" s="117">
        <f t="shared" si="56"/>
        <v>0</v>
      </c>
      <c r="J327" s="246" t="e">
        <f t="shared" si="55"/>
        <v>#DIV/0!</v>
      </c>
    </row>
    <row r="328" spans="1:12" s="100" customFormat="1" ht="19.5" customHeight="1" outlineLevel="1">
      <c r="A328" s="138" t="s">
        <v>703</v>
      </c>
      <c r="B328" s="63" t="s">
        <v>10</v>
      </c>
      <c r="C328" s="63" t="str">
        <f>[1]Composições!$I$114</f>
        <v>COMP08</v>
      </c>
      <c r="D328" s="65" t="str">
        <f>[1]Composições!$B$114</f>
        <v>REQUADRO DE PORTAS E JANELAS</v>
      </c>
      <c r="E328" s="66" t="s">
        <v>116</v>
      </c>
      <c r="F328" s="64">
        <v>0.77</v>
      </c>
      <c r="G328" s="335"/>
      <c r="H328" s="333">
        <f t="shared" si="58"/>
        <v>0</v>
      </c>
      <c r="I328" s="117">
        <f t="shared" si="56"/>
        <v>0</v>
      </c>
      <c r="J328" s="246" t="e">
        <f t="shared" si="55"/>
        <v>#DIV/0!</v>
      </c>
    </row>
    <row r="329" spans="1:12" s="100" customFormat="1" ht="40.5" outlineLevel="1">
      <c r="A329" s="138" t="s">
        <v>704</v>
      </c>
      <c r="B329" s="63">
        <v>90844</v>
      </c>
      <c r="C329" s="63" t="s">
        <v>18</v>
      </c>
      <c r="D329" s="65" t="s">
        <v>392</v>
      </c>
      <c r="E329" s="66" t="s">
        <v>221</v>
      </c>
      <c r="F329" s="64">
        <v>1</v>
      </c>
      <c r="G329" s="335"/>
      <c r="H329" s="333">
        <f t="shared" si="58"/>
        <v>0</v>
      </c>
      <c r="I329" s="117">
        <f t="shared" si="56"/>
        <v>0</v>
      </c>
      <c r="J329" s="246" t="e">
        <f t="shared" si="55"/>
        <v>#DIV/0!</v>
      </c>
      <c r="K329" s="100">
        <f>((28.1*1)-(0.9*1))</f>
        <v>27.200000000000003</v>
      </c>
    </row>
    <row r="330" spans="1:12" s="100" customFormat="1" ht="15.95" customHeight="1" outlineLevel="1">
      <c r="A330" s="138" t="s">
        <v>705</v>
      </c>
      <c r="B330" s="63">
        <v>88495</v>
      </c>
      <c r="C330" s="63" t="s">
        <v>18</v>
      </c>
      <c r="D330" s="65" t="s">
        <v>393</v>
      </c>
      <c r="E330" s="66" t="s">
        <v>116</v>
      </c>
      <c r="F330" s="64">
        <v>36.58</v>
      </c>
      <c r="G330" s="137"/>
      <c r="H330" s="117">
        <f t="shared" si="58"/>
        <v>0</v>
      </c>
      <c r="I330" s="117">
        <f t="shared" si="56"/>
        <v>0</v>
      </c>
      <c r="J330" s="246" t="e">
        <f t="shared" si="55"/>
        <v>#DIV/0!</v>
      </c>
    </row>
    <row r="331" spans="1:12" s="100" customFormat="1" outlineLevel="1">
      <c r="A331" s="138" t="s">
        <v>706</v>
      </c>
      <c r="B331" s="63">
        <v>88489</v>
      </c>
      <c r="C331" s="63" t="s">
        <v>18</v>
      </c>
      <c r="D331" s="65" t="s">
        <v>36</v>
      </c>
      <c r="E331" s="66" t="s">
        <v>116</v>
      </c>
      <c r="F331" s="64">
        <v>36.58</v>
      </c>
      <c r="G331" s="137"/>
      <c r="H331" s="117">
        <f t="shared" si="58"/>
        <v>0</v>
      </c>
      <c r="I331" s="117">
        <f t="shared" si="56"/>
        <v>0</v>
      </c>
      <c r="J331" s="246" t="e">
        <f t="shared" si="55"/>
        <v>#DIV/0!</v>
      </c>
    </row>
    <row r="332" spans="1:12" s="100" customFormat="1" ht="15.95" customHeight="1" outlineLevel="1">
      <c r="A332" s="138" t="s">
        <v>707</v>
      </c>
      <c r="B332" s="63" t="s">
        <v>256</v>
      </c>
      <c r="C332" s="63" t="s">
        <v>7</v>
      </c>
      <c r="D332" s="65" t="s">
        <v>596</v>
      </c>
      <c r="E332" s="66" t="s">
        <v>116</v>
      </c>
      <c r="F332" s="64">
        <v>27.2</v>
      </c>
      <c r="G332" s="137"/>
      <c r="H332" s="117">
        <f t="shared" si="58"/>
        <v>0</v>
      </c>
      <c r="I332" s="117">
        <f t="shared" si="56"/>
        <v>0</v>
      </c>
      <c r="J332" s="246" t="e">
        <f t="shared" si="55"/>
        <v>#DIV/0!</v>
      </c>
      <c r="K332" s="135" t="e">
        <f>I319+I324+I325+I326+#REF!+#REF!</f>
        <v>#REF!</v>
      </c>
      <c r="L332" s="135"/>
    </row>
    <row r="333" spans="1:12" s="100" customFormat="1" ht="15.95" customHeight="1" outlineLevel="1">
      <c r="A333" s="138" t="s">
        <v>708</v>
      </c>
      <c r="B333" s="63" t="s">
        <v>595</v>
      </c>
      <c r="C333" s="63" t="s">
        <v>7</v>
      </c>
      <c r="D333" s="65" t="s">
        <v>594</v>
      </c>
      <c r="E333" s="66" t="s">
        <v>116</v>
      </c>
      <c r="F333" s="64">
        <v>6.89</v>
      </c>
      <c r="G333" s="243"/>
      <c r="H333" s="117">
        <f t="shared" si="58"/>
        <v>0</v>
      </c>
      <c r="I333" s="117">
        <f t="shared" si="56"/>
        <v>0</v>
      </c>
      <c r="J333" s="246" t="e">
        <f t="shared" si="55"/>
        <v>#DIV/0!</v>
      </c>
      <c r="K333" s="135" t="e">
        <f>K332*10</f>
        <v>#REF!</v>
      </c>
      <c r="L333" s="135"/>
    </row>
    <row r="334" spans="1:12" s="100" customFormat="1" outlineLevel="1">
      <c r="A334" s="138" t="s">
        <v>709</v>
      </c>
      <c r="B334" s="63" t="s">
        <v>131</v>
      </c>
      <c r="C334" s="63" t="s">
        <v>9</v>
      </c>
      <c r="D334" s="65" t="s">
        <v>602</v>
      </c>
      <c r="E334" s="66" t="s">
        <v>115</v>
      </c>
      <c r="F334" s="64">
        <v>5.3</v>
      </c>
      <c r="G334" s="147" t="s">
        <v>10</v>
      </c>
      <c r="H334" s="117"/>
      <c r="I334" s="117">
        <f t="shared" si="56"/>
        <v>0</v>
      </c>
      <c r="J334" s="246" t="e">
        <f t="shared" si="55"/>
        <v>#DIV/0!</v>
      </c>
      <c r="K334" s="135"/>
      <c r="L334" s="135"/>
    </row>
    <row r="335" spans="1:12" s="100" customFormat="1" ht="27" outlineLevel="1">
      <c r="A335" s="138" t="s">
        <v>710</v>
      </c>
      <c r="B335" s="63">
        <v>102219</v>
      </c>
      <c r="C335" s="63" t="s">
        <v>18</v>
      </c>
      <c r="D335" s="65" t="s">
        <v>600</v>
      </c>
      <c r="E335" s="66" t="s">
        <v>116</v>
      </c>
      <c r="F335" s="64">
        <v>5.67</v>
      </c>
      <c r="G335" s="137"/>
      <c r="H335" s="117">
        <f t="shared" ref="H335" si="59">TRUNC((G335*(1+$I$12)),2)</f>
        <v>0</v>
      </c>
      <c r="I335" s="117">
        <f t="shared" si="56"/>
        <v>0</v>
      </c>
      <c r="J335" s="246" t="e">
        <f t="shared" si="55"/>
        <v>#DIV/0!</v>
      </c>
    </row>
    <row r="336" spans="1:12" s="100" customFormat="1" ht="15.75" customHeight="1" outlineLevel="1">
      <c r="A336" s="138" t="s">
        <v>711</v>
      </c>
      <c r="B336" s="63" t="s">
        <v>11</v>
      </c>
      <c r="C336" s="63" t="s">
        <v>9</v>
      </c>
      <c r="D336" s="65" t="s">
        <v>398</v>
      </c>
      <c r="E336" s="66" t="s">
        <v>116</v>
      </c>
      <c r="F336" s="64">
        <v>10.199999999999999</v>
      </c>
      <c r="G336" s="243" t="s">
        <v>10</v>
      </c>
      <c r="H336" s="121"/>
      <c r="I336" s="117">
        <f t="shared" si="56"/>
        <v>0</v>
      </c>
      <c r="J336" s="246" t="e">
        <f t="shared" si="55"/>
        <v>#DIV/0!</v>
      </c>
    </row>
    <row r="337" spans="1:11" s="100" customFormat="1" ht="15.75" customHeight="1" outlineLevel="1">
      <c r="A337" s="138" t="s">
        <v>712</v>
      </c>
      <c r="B337" s="63" t="s">
        <v>597</v>
      </c>
      <c r="C337" s="63" t="s">
        <v>9</v>
      </c>
      <c r="D337" s="65" t="s">
        <v>601</v>
      </c>
      <c r="E337" s="66" t="s">
        <v>218</v>
      </c>
      <c r="F337" s="64">
        <v>0.19</v>
      </c>
      <c r="G337" s="243" t="s">
        <v>10</v>
      </c>
      <c r="H337" s="121"/>
      <c r="I337" s="117">
        <f t="shared" si="56"/>
        <v>0</v>
      </c>
      <c r="J337" s="246" t="e">
        <f t="shared" si="55"/>
        <v>#DIV/0!</v>
      </c>
    </row>
    <row r="338" spans="1:11" s="100" customFormat="1" ht="27" outlineLevel="1">
      <c r="A338" s="138" t="s">
        <v>897</v>
      </c>
      <c r="B338" s="103">
        <v>102219</v>
      </c>
      <c r="C338" s="103" t="s">
        <v>18</v>
      </c>
      <c r="D338" s="85" t="s">
        <v>599</v>
      </c>
      <c r="E338" s="86" t="s">
        <v>116</v>
      </c>
      <c r="F338" s="80">
        <f>F337/0.03</f>
        <v>6.3333333333333339</v>
      </c>
      <c r="G338" s="241"/>
      <c r="H338" s="125">
        <f t="shared" ref="H338" si="60">TRUNC((G338*(1+$I$12)),2)</f>
        <v>0</v>
      </c>
      <c r="I338" s="117">
        <f t="shared" si="56"/>
        <v>0</v>
      </c>
      <c r="J338" s="246" t="e">
        <f t="shared" si="55"/>
        <v>#DIV/0!</v>
      </c>
    </row>
    <row r="339" spans="1:11" s="100" customFormat="1" ht="15.95" customHeight="1" outlineLevel="1">
      <c r="A339" s="138" t="s">
        <v>1910</v>
      </c>
      <c r="B339" s="63" t="s">
        <v>10</v>
      </c>
      <c r="C339" s="63" t="str">
        <f>[1]Composições!$I$107</f>
        <v>COMP07</v>
      </c>
      <c r="D339" s="65" t="str">
        <f>[1]Composições!$B$107</f>
        <v>INSTALAÇÃO DE VENTILADOR</v>
      </c>
      <c r="E339" s="66" t="s">
        <v>221</v>
      </c>
      <c r="F339" s="64">
        <v>2</v>
      </c>
      <c r="G339" s="137"/>
      <c r="H339" s="333">
        <f>TRUNC((G339*(1+$I$12)),2)</f>
        <v>0</v>
      </c>
      <c r="I339" s="117">
        <f>ROUND((F339*H339),2)</f>
        <v>0</v>
      </c>
      <c r="J339" s="246" t="e">
        <f t="shared" si="55"/>
        <v>#DIV/0!</v>
      </c>
    </row>
    <row r="340" spans="1:11" ht="15.95" customHeight="1">
      <c r="A340" s="378" t="s">
        <v>740</v>
      </c>
      <c r="B340" s="378"/>
      <c r="C340" s="378"/>
      <c r="D340" s="378"/>
      <c r="E340" s="378"/>
      <c r="F340" s="378"/>
      <c r="G340" s="378"/>
      <c r="H340" s="378"/>
      <c r="I340" s="179">
        <f>SUM(I312:I339)</f>
        <v>0</v>
      </c>
      <c r="J340" s="315" t="e">
        <f>SUM(J312:J339)</f>
        <v>#DIV/0!</v>
      </c>
      <c r="K340" s="318" t="e">
        <f>I340/$I$432</f>
        <v>#DIV/0!</v>
      </c>
    </row>
    <row r="341" spans="1:11" ht="15.95" customHeight="1">
      <c r="A341" s="61" t="s">
        <v>713</v>
      </c>
      <c r="B341" s="394"/>
      <c r="C341" s="394"/>
      <c r="D341" s="143" t="s">
        <v>152</v>
      </c>
      <c r="E341" s="394"/>
      <c r="F341" s="394"/>
      <c r="G341" s="394"/>
      <c r="H341" s="394"/>
      <c r="I341" s="394"/>
      <c r="J341" s="394"/>
    </row>
    <row r="342" spans="1:11" s="100" customFormat="1" ht="15.95" customHeight="1" outlineLevel="1">
      <c r="A342" s="138" t="s">
        <v>714</v>
      </c>
      <c r="B342" s="5">
        <v>97644</v>
      </c>
      <c r="C342" s="5" t="s">
        <v>18</v>
      </c>
      <c r="D342" s="106" t="s">
        <v>463</v>
      </c>
      <c r="E342" s="109" t="s">
        <v>116</v>
      </c>
      <c r="F342" s="64">
        <f>2.1*0.9</f>
        <v>1.8900000000000001</v>
      </c>
      <c r="G342" s="116"/>
      <c r="H342" s="241">
        <f t="shared" ref="H342:H346" si="61">TRUNC((G342*(1+$I$12)),2)</f>
        <v>0</v>
      </c>
      <c r="I342" s="117">
        <f>ROUND((F342*H342),2)</f>
        <v>0</v>
      </c>
      <c r="J342" s="246" t="e">
        <f t="shared" ref="J342:J369" si="62">(I342/$I$1421)</f>
        <v>#DIV/0!</v>
      </c>
    </row>
    <row r="343" spans="1:11" s="100" customFormat="1" ht="27" outlineLevel="1">
      <c r="A343" s="138" t="s">
        <v>1911</v>
      </c>
      <c r="B343" s="5">
        <v>97640</v>
      </c>
      <c r="C343" s="5" t="s">
        <v>18</v>
      </c>
      <c r="D343" s="106" t="s">
        <v>1797</v>
      </c>
      <c r="E343" s="109" t="s">
        <v>116</v>
      </c>
      <c r="F343" s="64">
        <v>49.35</v>
      </c>
      <c r="G343" s="137"/>
      <c r="H343" s="241">
        <f t="shared" si="61"/>
        <v>0</v>
      </c>
      <c r="I343" s="242">
        <f t="shared" ref="I343:I347" si="63">ROUND((F343*H343),2)</f>
        <v>0</v>
      </c>
      <c r="J343" s="246" t="e">
        <f t="shared" si="62"/>
        <v>#DIV/0!</v>
      </c>
    </row>
    <row r="344" spans="1:11" s="100" customFormat="1" ht="15.95" customHeight="1" outlineLevel="1">
      <c r="A344" s="138" t="s">
        <v>715</v>
      </c>
      <c r="B344" s="63" t="s">
        <v>135</v>
      </c>
      <c r="C344" s="63" t="s">
        <v>7</v>
      </c>
      <c r="D344" s="65" t="s">
        <v>383</v>
      </c>
      <c r="E344" s="66" t="s">
        <v>115</v>
      </c>
      <c r="F344" s="64">
        <v>54.45</v>
      </c>
      <c r="G344" s="335"/>
      <c r="H344" s="333">
        <f t="shared" si="61"/>
        <v>0</v>
      </c>
      <c r="I344" s="333">
        <f t="shared" si="63"/>
        <v>0</v>
      </c>
      <c r="J344" s="246" t="e">
        <f t="shared" si="62"/>
        <v>#DIV/0!</v>
      </c>
    </row>
    <row r="345" spans="1:11" s="100" customFormat="1" ht="27" outlineLevel="1">
      <c r="A345" s="138" t="s">
        <v>716</v>
      </c>
      <c r="B345" s="63">
        <v>97660</v>
      </c>
      <c r="C345" s="63" t="s">
        <v>18</v>
      </c>
      <c r="D345" s="65" t="s">
        <v>1798</v>
      </c>
      <c r="E345" s="66" t="s">
        <v>221</v>
      </c>
      <c r="F345" s="64">
        <v>3</v>
      </c>
      <c r="G345" s="335"/>
      <c r="H345" s="333">
        <f t="shared" si="61"/>
        <v>0</v>
      </c>
      <c r="I345" s="333">
        <f t="shared" si="63"/>
        <v>0</v>
      </c>
      <c r="J345" s="246" t="e">
        <f t="shared" si="62"/>
        <v>#DIV/0!</v>
      </c>
    </row>
    <row r="346" spans="1:11" s="100" customFormat="1" ht="15.75" customHeight="1" outlineLevel="1">
      <c r="A346" s="138" t="s">
        <v>717</v>
      </c>
      <c r="B346" s="63">
        <v>97665</v>
      </c>
      <c r="C346" s="63" t="s">
        <v>18</v>
      </c>
      <c r="D346" s="65" t="s">
        <v>1799</v>
      </c>
      <c r="E346" s="66" t="s">
        <v>221</v>
      </c>
      <c r="F346" s="64">
        <v>4</v>
      </c>
      <c r="G346" s="335"/>
      <c r="H346" s="333">
        <f t="shared" si="61"/>
        <v>0</v>
      </c>
      <c r="I346" s="333">
        <f t="shared" si="63"/>
        <v>0</v>
      </c>
      <c r="J346" s="246" t="e">
        <f t="shared" si="62"/>
        <v>#DIV/0!</v>
      </c>
    </row>
    <row r="347" spans="1:11" s="100" customFormat="1" ht="15.95" customHeight="1" outlineLevel="1">
      <c r="A347" s="138" t="s">
        <v>718</v>
      </c>
      <c r="B347" s="63" t="s">
        <v>126</v>
      </c>
      <c r="C347" s="63" t="s">
        <v>9</v>
      </c>
      <c r="D347" s="65" t="s">
        <v>386</v>
      </c>
      <c r="E347" s="66" t="s">
        <v>115</v>
      </c>
      <c r="F347" s="64">
        <v>27.2</v>
      </c>
      <c r="G347" s="335" t="s">
        <v>10</v>
      </c>
      <c r="H347" s="121"/>
      <c r="I347" s="333">
        <f t="shared" si="63"/>
        <v>0</v>
      </c>
      <c r="J347" s="246" t="e">
        <f t="shared" si="62"/>
        <v>#DIV/0!</v>
      </c>
    </row>
    <row r="348" spans="1:11" s="100" customFormat="1" ht="15.95" customHeight="1" outlineLevel="1">
      <c r="A348" s="138" t="s">
        <v>719</v>
      </c>
      <c r="B348" s="63" t="s">
        <v>125</v>
      </c>
      <c r="C348" s="63" t="s">
        <v>7</v>
      </c>
      <c r="D348" s="65" t="s">
        <v>592</v>
      </c>
      <c r="E348" s="68" t="s">
        <v>116</v>
      </c>
      <c r="F348" s="64">
        <v>6.89</v>
      </c>
      <c r="G348" s="335"/>
      <c r="H348" s="333">
        <f>TRUNC((G348*(1+$I$12)),2)</f>
        <v>0</v>
      </c>
      <c r="I348" s="333">
        <f>ROUND((F348*H348),2)</f>
        <v>0</v>
      </c>
      <c r="J348" s="246" t="e">
        <f t="shared" si="62"/>
        <v>#DIV/0!</v>
      </c>
    </row>
    <row r="349" spans="1:11" s="100" customFormat="1" ht="15.95" customHeight="1" outlineLevel="1">
      <c r="A349" s="138" t="s">
        <v>720</v>
      </c>
      <c r="B349" s="63" t="s">
        <v>32</v>
      </c>
      <c r="C349" s="63" t="s">
        <v>9</v>
      </c>
      <c r="D349" s="65" t="s">
        <v>598</v>
      </c>
      <c r="E349" s="68" t="s">
        <v>218</v>
      </c>
      <c r="F349" s="64">
        <f>49.49*0.1</f>
        <v>4.9490000000000007</v>
      </c>
      <c r="G349" s="139" t="s">
        <v>10</v>
      </c>
      <c r="H349" s="124"/>
      <c r="I349" s="124">
        <f>ROUND((F349*H349),2)</f>
        <v>0</v>
      </c>
      <c r="J349" s="246" t="e">
        <f t="shared" si="62"/>
        <v>#DIV/0!</v>
      </c>
    </row>
    <row r="350" spans="1:11" s="100" customFormat="1" ht="40.5" outlineLevel="1">
      <c r="A350" s="138" t="s">
        <v>721</v>
      </c>
      <c r="B350" s="63">
        <v>100983</v>
      </c>
      <c r="C350" s="63" t="s">
        <v>18</v>
      </c>
      <c r="D350" s="65" t="s">
        <v>1896</v>
      </c>
      <c r="E350" s="86" t="s">
        <v>218</v>
      </c>
      <c r="F350" s="80">
        <f>(0.1+0.04+1.48+0.01+0.35+0.5+0.5+0.08+4.95+0.5)*1.3</f>
        <v>11.063000000000001</v>
      </c>
      <c r="G350" s="124"/>
      <c r="H350" s="350">
        <f t="shared" ref="H350:H351" si="64">TRUNC((G350*(1+$I$12)),2)</f>
        <v>0</v>
      </c>
      <c r="I350" s="117">
        <f t="shared" ref="I350:I351" si="65">ROUND((F350*H350),2)</f>
        <v>0</v>
      </c>
      <c r="J350" s="231" t="e">
        <f t="shared" si="62"/>
        <v>#DIV/0!</v>
      </c>
    </row>
    <row r="351" spans="1:11" s="100" customFormat="1" ht="27" outlineLevel="1">
      <c r="A351" s="138" t="s">
        <v>722</v>
      </c>
      <c r="B351" s="63">
        <v>95875</v>
      </c>
      <c r="C351" s="63" t="s">
        <v>18</v>
      </c>
      <c r="D351" s="65" t="s">
        <v>1898</v>
      </c>
      <c r="E351" s="86" t="s">
        <v>1897</v>
      </c>
      <c r="F351" s="80">
        <f>F350*4</f>
        <v>44.252000000000002</v>
      </c>
      <c r="G351" s="124"/>
      <c r="H351" s="350">
        <f t="shared" si="64"/>
        <v>0</v>
      </c>
      <c r="I351" s="117">
        <f t="shared" si="65"/>
        <v>0</v>
      </c>
      <c r="J351" s="231" t="e">
        <f t="shared" si="62"/>
        <v>#DIV/0!</v>
      </c>
    </row>
    <row r="352" spans="1:11" s="157" customFormat="1" ht="27" outlineLevel="1">
      <c r="A352" s="138" t="s">
        <v>723</v>
      </c>
      <c r="B352" s="63">
        <v>97084</v>
      </c>
      <c r="C352" s="63" t="s">
        <v>18</v>
      </c>
      <c r="D352" s="65" t="s">
        <v>791</v>
      </c>
      <c r="E352" s="68" t="s">
        <v>116</v>
      </c>
      <c r="F352" s="64">
        <v>49.49</v>
      </c>
      <c r="G352" s="350"/>
      <c r="H352" s="333">
        <f t="shared" ref="H352" si="66">TRUNC((G352*(1+$I$12)),2)</f>
        <v>0</v>
      </c>
      <c r="I352" s="333">
        <f t="shared" ref="I352" si="67">ROUND((F352*H352),2)</f>
        <v>0</v>
      </c>
      <c r="J352" s="246" t="e">
        <f t="shared" si="62"/>
        <v>#DIV/0!</v>
      </c>
    </row>
    <row r="353" spans="1:12" s="100" customFormat="1" ht="27" outlineLevel="1">
      <c r="A353" s="138" t="s">
        <v>724</v>
      </c>
      <c r="B353" s="128">
        <v>96622</v>
      </c>
      <c r="C353" s="128" t="s">
        <v>18</v>
      </c>
      <c r="D353" s="82" t="s">
        <v>1895</v>
      </c>
      <c r="E353" s="88" t="s">
        <v>218</v>
      </c>
      <c r="F353" s="75">
        <f>F352*0.05</f>
        <v>2.4745000000000004</v>
      </c>
      <c r="G353" s="145"/>
      <c r="H353" s="333">
        <f>TRUNC((G353*(1+$I$12)),2)</f>
        <v>0</v>
      </c>
      <c r="I353" s="333">
        <f>ROUND((F353*H353),2)</f>
        <v>0</v>
      </c>
      <c r="J353" s="246" t="e">
        <f t="shared" si="62"/>
        <v>#DIV/0!</v>
      </c>
    </row>
    <row r="354" spans="1:12" s="100" customFormat="1" ht="27" outlineLevel="1">
      <c r="A354" s="138" t="s">
        <v>725</v>
      </c>
      <c r="B354" s="128">
        <v>95241</v>
      </c>
      <c r="C354" s="128" t="s">
        <v>18</v>
      </c>
      <c r="D354" s="82" t="s">
        <v>1894</v>
      </c>
      <c r="E354" s="88" t="s">
        <v>116</v>
      </c>
      <c r="F354" s="75">
        <f>F352</f>
        <v>49.49</v>
      </c>
      <c r="G354" s="145"/>
      <c r="H354" s="333">
        <f>TRUNC((G354*(1+$I$12)),2)</f>
        <v>0</v>
      </c>
      <c r="I354" s="333">
        <f>ROUND((F354*H354),2)</f>
        <v>0</v>
      </c>
      <c r="J354" s="246" t="e">
        <f t="shared" si="62"/>
        <v>#DIV/0!</v>
      </c>
    </row>
    <row r="355" spans="1:12" s="100" customFormat="1" ht="40.5" outlineLevel="1">
      <c r="A355" s="138" t="s">
        <v>726</v>
      </c>
      <c r="B355" s="63">
        <v>104162</v>
      </c>
      <c r="C355" s="63" t="s">
        <v>18</v>
      </c>
      <c r="D355" s="65" t="s">
        <v>387</v>
      </c>
      <c r="E355" s="66" t="s">
        <v>116</v>
      </c>
      <c r="F355" s="64">
        <v>49.49</v>
      </c>
      <c r="G355" s="335"/>
      <c r="H355" s="333">
        <f t="shared" ref="H355:H363" si="68">TRUNC((G355*(1+$I$12)),2)</f>
        <v>0</v>
      </c>
      <c r="I355" s="121">
        <f t="shared" ref="I355:I368" si="69">ROUND((F355*H355),2)</f>
        <v>0</v>
      </c>
      <c r="J355" s="246" t="e">
        <f t="shared" si="62"/>
        <v>#DIV/0!</v>
      </c>
      <c r="K355" s="100">
        <f>((2*2.1*0.15)+(0.9*0.15))</f>
        <v>0.76500000000000001</v>
      </c>
    </row>
    <row r="356" spans="1:12" s="100" customFormat="1" ht="15.95" customHeight="1" outlineLevel="1">
      <c r="A356" s="138" t="s">
        <v>727</v>
      </c>
      <c r="B356" s="63">
        <v>101741</v>
      </c>
      <c r="C356" s="63" t="s">
        <v>18</v>
      </c>
      <c r="D356" s="65" t="s">
        <v>388</v>
      </c>
      <c r="E356" s="66" t="s">
        <v>115</v>
      </c>
      <c r="F356" s="64">
        <v>27.2</v>
      </c>
      <c r="G356" s="335"/>
      <c r="H356" s="333">
        <f t="shared" si="68"/>
        <v>0</v>
      </c>
      <c r="I356" s="121">
        <f t="shared" si="69"/>
        <v>0</v>
      </c>
      <c r="J356" s="246" t="e">
        <f t="shared" si="62"/>
        <v>#DIV/0!</v>
      </c>
      <c r="K356" s="100">
        <f>(((13.75*2.76))-((0.9*2.1)+(3.4*1.5)))</f>
        <v>30.959999999999994</v>
      </c>
    </row>
    <row r="357" spans="1:12" s="100" customFormat="1" ht="27" outlineLevel="1">
      <c r="A357" s="138" t="s">
        <v>728</v>
      </c>
      <c r="B357" s="63">
        <v>96116</v>
      </c>
      <c r="C357" s="63" t="s">
        <v>18</v>
      </c>
      <c r="D357" s="65" t="s">
        <v>593</v>
      </c>
      <c r="E357" s="66" t="s">
        <v>116</v>
      </c>
      <c r="F357" s="64">
        <v>49.35</v>
      </c>
      <c r="G357" s="335"/>
      <c r="H357" s="333">
        <f t="shared" si="68"/>
        <v>0</v>
      </c>
      <c r="I357" s="121">
        <f t="shared" si="69"/>
        <v>0</v>
      </c>
      <c r="J357" s="246" t="e">
        <f t="shared" si="62"/>
        <v>#DIV/0!</v>
      </c>
    </row>
    <row r="358" spans="1:12" s="100" customFormat="1" ht="19.5" customHeight="1" outlineLevel="1">
      <c r="A358" s="138" t="s">
        <v>729</v>
      </c>
      <c r="B358" s="63" t="s">
        <v>10</v>
      </c>
      <c r="C358" s="63" t="str">
        <f>[1]Composições!$I$114</f>
        <v>COMP08</v>
      </c>
      <c r="D358" s="65" t="str">
        <f>[1]Composições!$B$114</f>
        <v>REQUADRO DE PORTAS E JANELAS</v>
      </c>
      <c r="E358" s="66" t="s">
        <v>116</v>
      </c>
      <c r="F358" s="64">
        <v>0.77</v>
      </c>
      <c r="G358" s="335"/>
      <c r="H358" s="333">
        <f t="shared" si="68"/>
        <v>0</v>
      </c>
      <c r="I358" s="121">
        <f t="shared" si="69"/>
        <v>0</v>
      </c>
      <c r="J358" s="246" t="e">
        <f t="shared" si="62"/>
        <v>#DIV/0!</v>
      </c>
    </row>
    <row r="359" spans="1:12" s="100" customFormat="1" ht="40.5" outlineLevel="1">
      <c r="A359" s="138" t="s">
        <v>730</v>
      </c>
      <c r="B359" s="63">
        <v>90844</v>
      </c>
      <c r="C359" s="63" t="s">
        <v>18</v>
      </c>
      <c r="D359" s="65" t="s">
        <v>392</v>
      </c>
      <c r="E359" s="66" t="s">
        <v>221</v>
      </c>
      <c r="F359" s="64">
        <v>1</v>
      </c>
      <c r="G359" s="243"/>
      <c r="H359" s="241">
        <f t="shared" si="68"/>
        <v>0</v>
      </c>
      <c r="I359" s="121">
        <f t="shared" si="69"/>
        <v>0</v>
      </c>
      <c r="J359" s="246" t="e">
        <f t="shared" si="62"/>
        <v>#DIV/0!</v>
      </c>
      <c r="K359" s="100">
        <f>((28.1*1)-(0.9*1))</f>
        <v>27.200000000000003</v>
      </c>
    </row>
    <row r="360" spans="1:12" s="100" customFormat="1" ht="15.95" customHeight="1" outlineLevel="1">
      <c r="A360" s="138" t="s">
        <v>731</v>
      </c>
      <c r="B360" s="63">
        <v>88495</v>
      </c>
      <c r="C360" s="63" t="s">
        <v>18</v>
      </c>
      <c r="D360" s="65" t="s">
        <v>393</v>
      </c>
      <c r="E360" s="66" t="s">
        <v>116</v>
      </c>
      <c r="F360" s="64">
        <v>36.58</v>
      </c>
      <c r="G360" s="137"/>
      <c r="H360" s="117">
        <f t="shared" si="68"/>
        <v>0</v>
      </c>
      <c r="I360" s="117">
        <f t="shared" si="69"/>
        <v>0</v>
      </c>
      <c r="J360" s="246" t="e">
        <f t="shared" si="62"/>
        <v>#DIV/0!</v>
      </c>
    </row>
    <row r="361" spans="1:12" s="100" customFormat="1" outlineLevel="1">
      <c r="A361" s="138" t="s">
        <v>732</v>
      </c>
      <c r="B361" s="63">
        <v>88489</v>
      </c>
      <c r="C361" s="63" t="s">
        <v>18</v>
      </c>
      <c r="D361" s="65" t="s">
        <v>36</v>
      </c>
      <c r="E361" s="66" t="s">
        <v>116</v>
      </c>
      <c r="F361" s="64">
        <v>36.58</v>
      </c>
      <c r="G361" s="137"/>
      <c r="H361" s="117">
        <f t="shared" si="68"/>
        <v>0</v>
      </c>
      <c r="I361" s="117">
        <f t="shared" si="69"/>
        <v>0</v>
      </c>
      <c r="J361" s="246" t="e">
        <f t="shared" si="62"/>
        <v>#DIV/0!</v>
      </c>
    </row>
    <row r="362" spans="1:12" s="100" customFormat="1" ht="15.95" customHeight="1" outlineLevel="1">
      <c r="A362" s="138" t="s">
        <v>733</v>
      </c>
      <c r="B362" s="63" t="s">
        <v>256</v>
      </c>
      <c r="C362" s="63" t="s">
        <v>7</v>
      </c>
      <c r="D362" s="65" t="s">
        <v>596</v>
      </c>
      <c r="E362" s="66" t="s">
        <v>116</v>
      </c>
      <c r="F362" s="64">
        <v>27.2</v>
      </c>
      <c r="G362" s="137"/>
      <c r="H362" s="117">
        <f t="shared" si="68"/>
        <v>0</v>
      </c>
      <c r="I362" s="117">
        <f t="shared" si="69"/>
        <v>0</v>
      </c>
      <c r="J362" s="246" t="e">
        <f t="shared" si="62"/>
        <v>#DIV/0!</v>
      </c>
      <c r="K362" s="135" t="e">
        <f>I349+I354+I355+I356+#REF!+#REF!</f>
        <v>#REF!</v>
      </c>
      <c r="L362" s="135"/>
    </row>
    <row r="363" spans="1:12" s="100" customFormat="1" ht="15.95" customHeight="1" outlineLevel="1">
      <c r="A363" s="138" t="s">
        <v>734</v>
      </c>
      <c r="B363" s="63" t="s">
        <v>595</v>
      </c>
      <c r="C363" s="63" t="s">
        <v>7</v>
      </c>
      <c r="D363" s="65" t="s">
        <v>594</v>
      </c>
      <c r="E363" s="66" t="s">
        <v>116</v>
      </c>
      <c r="F363" s="64">
        <v>6.89</v>
      </c>
      <c r="G363" s="243"/>
      <c r="H363" s="117">
        <f t="shared" si="68"/>
        <v>0</v>
      </c>
      <c r="I363" s="117">
        <f t="shared" si="69"/>
        <v>0</v>
      </c>
      <c r="J363" s="246" t="e">
        <f t="shared" si="62"/>
        <v>#DIV/0!</v>
      </c>
      <c r="K363" s="135" t="e">
        <f>K362*10</f>
        <v>#REF!</v>
      </c>
      <c r="L363" s="135"/>
    </row>
    <row r="364" spans="1:12" s="100" customFormat="1" outlineLevel="1">
      <c r="A364" s="138" t="s">
        <v>735</v>
      </c>
      <c r="B364" s="63" t="s">
        <v>131</v>
      </c>
      <c r="C364" s="63" t="s">
        <v>9</v>
      </c>
      <c r="D364" s="65" t="s">
        <v>602</v>
      </c>
      <c r="E364" s="66" t="s">
        <v>115</v>
      </c>
      <c r="F364" s="64">
        <v>5.3</v>
      </c>
      <c r="G364" s="147" t="s">
        <v>10</v>
      </c>
      <c r="H364" s="117"/>
      <c r="I364" s="117">
        <f t="shared" si="69"/>
        <v>0</v>
      </c>
      <c r="J364" s="246" t="e">
        <f t="shared" si="62"/>
        <v>#DIV/0!</v>
      </c>
      <c r="K364" s="135"/>
      <c r="L364" s="135"/>
    </row>
    <row r="365" spans="1:12" s="100" customFormat="1" ht="27" outlineLevel="1">
      <c r="A365" s="138" t="s">
        <v>736</v>
      </c>
      <c r="B365" s="63">
        <v>102219</v>
      </c>
      <c r="C365" s="63" t="s">
        <v>18</v>
      </c>
      <c r="D365" s="65" t="s">
        <v>600</v>
      </c>
      <c r="E365" s="66" t="s">
        <v>116</v>
      </c>
      <c r="F365" s="64">
        <v>5.67</v>
      </c>
      <c r="G365" s="137"/>
      <c r="H365" s="117">
        <f t="shared" ref="H365" si="70">TRUNC((G365*(1+$I$12)),2)</f>
        <v>0</v>
      </c>
      <c r="I365" s="117">
        <f t="shared" si="69"/>
        <v>0</v>
      </c>
      <c r="J365" s="246" t="e">
        <f t="shared" si="62"/>
        <v>#DIV/0!</v>
      </c>
    </row>
    <row r="366" spans="1:12" s="100" customFormat="1" ht="15.75" customHeight="1" outlineLevel="1">
      <c r="A366" s="138" t="s">
        <v>737</v>
      </c>
      <c r="B366" s="63" t="s">
        <v>11</v>
      </c>
      <c r="C366" s="63" t="s">
        <v>9</v>
      </c>
      <c r="D366" s="65" t="s">
        <v>398</v>
      </c>
      <c r="E366" s="66" t="s">
        <v>116</v>
      </c>
      <c r="F366" s="64">
        <v>10.199999999999999</v>
      </c>
      <c r="G366" s="243" t="s">
        <v>10</v>
      </c>
      <c r="H366" s="121"/>
      <c r="I366" s="241">
        <f t="shared" si="69"/>
        <v>0</v>
      </c>
      <c r="J366" s="246" t="e">
        <f t="shared" si="62"/>
        <v>#DIV/0!</v>
      </c>
    </row>
    <row r="367" spans="1:12" s="100" customFormat="1" ht="15.75" customHeight="1" outlineLevel="1">
      <c r="A367" s="138" t="s">
        <v>738</v>
      </c>
      <c r="B367" s="63" t="s">
        <v>597</v>
      </c>
      <c r="C367" s="63" t="s">
        <v>9</v>
      </c>
      <c r="D367" s="65" t="s">
        <v>601</v>
      </c>
      <c r="E367" s="66" t="s">
        <v>218</v>
      </c>
      <c r="F367" s="64">
        <v>0.19</v>
      </c>
      <c r="G367" s="243" t="s">
        <v>10</v>
      </c>
      <c r="H367" s="121"/>
      <c r="I367" s="133">
        <f t="shared" si="69"/>
        <v>0</v>
      </c>
      <c r="J367" s="246" t="e">
        <f t="shared" si="62"/>
        <v>#DIV/0!</v>
      </c>
    </row>
    <row r="368" spans="1:12" s="100" customFormat="1" ht="27" outlineLevel="1">
      <c r="A368" s="138" t="s">
        <v>898</v>
      </c>
      <c r="B368" s="103">
        <v>102219</v>
      </c>
      <c r="C368" s="103" t="s">
        <v>18</v>
      </c>
      <c r="D368" s="85" t="s">
        <v>599</v>
      </c>
      <c r="E368" s="86" t="s">
        <v>116</v>
      </c>
      <c r="F368" s="80">
        <f>F367/0.03</f>
        <v>6.3333333333333339</v>
      </c>
      <c r="G368" s="241"/>
      <c r="H368" s="125">
        <f t="shared" ref="H368" si="71">TRUNC((G368*(1+$I$12)),2)</f>
        <v>0</v>
      </c>
      <c r="I368" s="133">
        <f t="shared" si="69"/>
        <v>0</v>
      </c>
      <c r="J368" s="246" t="e">
        <f t="shared" si="62"/>
        <v>#DIV/0!</v>
      </c>
    </row>
    <row r="369" spans="1:11" s="100" customFormat="1" ht="15.95" customHeight="1" outlineLevel="1">
      <c r="A369" s="138" t="s">
        <v>1297</v>
      </c>
      <c r="B369" s="63" t="s">
        <v>10</v>
      </c>
      <c r="C369" s="63" t="str">
        <f>[1]Composições!$I$107</f>
        <v>COMP07</v>
      </c>
      <c r="D369" s="65" t="str">
        <f>[1]Composições!$B$107</f>
        <v>INSTALAÇÃO DE VENTILADOR</v>
      </c>
      <c r="E369" s="66" t="s">
        <v>221</v>
      </c>
      <c r="F369" s="64">
        <v>2</v>
      </c>
      <c r="G369" s="137"/>
      <c r="H369" s="333">
        <f>TRUNC((G369*(1+$I$12)),2)</f>
        <v>0</v>
      </c>
      <c r="I369" s="334">
        <f>ROUND((F369*H369),2)</f>
        <v>0</v>
      </c>
      <c r="J369" s="246" t="e">
        <f t="shared" si="62"/>
        <v>#DIV/0!</v>
      </c>
    </row>
    <row r="370" spans="1:11" ht="15.95" customHeight="1">
      <c r="A370" s="378" t="s">
        <v>739</v>
      </c>
      <c r="B370" s="378"/>
      <c r="C370" s="378"/>
      <c r="D370" s="378"/>
      <c r="E370" s="378"/>
      <c r="F370" s="378"/>
      <c r="G370" s="378"/>
      <c r="H370" s="378"/>
      <c r="I370" s="179">
        <f>SUM(I342:I369)</f>
        <v>0</v>
      </c>
      <c r="J370" s="315" t="e">
        <f>SUM(J342:J369)</f>
        <v>#DIV/0!</v>
      </c>
      <c r="K370" s="318" t="e">
        <f>I370/$I$432</f>
        <v>#DIV/0!</v>
      </c>
    </row>
    <row r="371" spans="1:11" ht="15.95" customHeight="1">
      <c r="A371" s="61" t="s">
        <v>741</v>
      </c>
      <c r="B371" s="394"/>
      <c r="C371" s="394"/>
      <c r="D371" s="143" t="s">
        <v>153</v>
      </c>
      <c r="E371" s="394"/>
      <c r="F371" s="394"/>
      <c r="G371" s="394"/>
      <c r="H371" s="394"/>
      <c r="I371" s="394"/>
      <c r="J371" s="394"/>
    </row>
    <row r="372" spans="1:11" s="100" customFormat="1" ht="15.95" customHeight="1" outlineLevel="1">
      <c r="A372" s="138" t="s">
        <v>742</v>
      </c>
      <c r="B372" s="5">
        <v>97644</v>
      </c>
      <c r="C372" s="5" t="s">
        <v>18</v>
      </c>
      <c r="D372" s="106" t="s">
        <v>463</v>
      </c>
      <c r="E372" s="109" t="s">
        <v>116</v>
      </c>
      <c r="F372" s="64">
        <f>2.1*0.9</f>
        <v>1.8900000000000001</v>
      </c>
      <c r="G372" s="116"/>
      <c r="H372" s="241">
        <f t="shared" ref="H372:H376" si="72">TRUNC((G372*(1+$I$12)),2)</f>
        <v>0</v>
      </c>
      <c r="I372" s="117">
        <f>ROUND((F372*H372),2)</f>
        <v>0</v>
      </c>
      <c r="J372" s="246" t="e">
        <f t="shared" ref="J372:J399" si="73">(I372/$I$1421)</f>
        <v>#DIV/0!</v>
      </c>
    </row>
    <row r="373" spans="1:11" s="100" customFormat="1" ht="27" outlineLevel="1">
      <c r="A373" s="138" t="s">
        <v>743</v>
      </c>
      <c r="B373" s="5">
        <v>97640</v>
      </c>
      <c r="C373" s="5" t="s">
        <v>18</v>
      </c>
      <c r="D373" s="106" t="s">
        <v>1797</v>
      </c>
      <c r="E373" s="109" t="s">
        <v>116</v>
      </c>
      <c r="F373" s="64">
        <v>49.35</v>
      </c>
      <c r="G373" s="137"/>
      <c r="H373" s="241">
        <f t="shared" si="72"/>
        <v>0</v>
      </c>
      <c r="I373" s="117">
        <f t="shared" ref="I373:I398" si="74">ROUND((F373*H373),2)</f>
        <v>0</v>
      </c>
      <c r="J373" s="246" t="e">
        <f t="shared" si="73"/>
        <v>#DIV/0!</v>
      </c>
    </row>
    <row r="374" spans="1:11" s="100" customFormat="1" ht="15.95" customHeight="1" outlineLevel="1">
      <c r="A374" s="138" t="s">
        <v>744</v>
      </c>
      <c r="B374" s="63" t="s">
        <v>135</v>
      </c>
      <c r="C374" s="63" t="s">
        <v>7</v>
      </c>
      <c r="D374" s="65" t="s">
        <v>383</v>
      </c>
      <c r="E374" s="66" t="s">
        <v>115</v>
      </c>
      <c r="F374" s="64">
        <v>54.45</v>
      </c>
      <c r="G374" s="335"/>
      <c r="H374" s="333">
        <f t="shared" si="72"/>
        <v>0</v>
      </c>
      <c r="I374" s="117">
        <f t="shared" si="74"/>
        <v>0</v>
      </c>
      <c r="J374" s="246" t="e">
        <f t="shared" si="73"/>
        <v>#DIV/0!</v>
      </c>
    </row>
    <row r="375" spans="1:11" s="100" customFormat="1" ht="27" outlineLevel="1">
      <c r="A375" s="138" t="s">
        <v>745</v>
      </c>
      <c r="B375" s="63">
        <v>97660</v>
      </c>
      <c r="C375" s="63" t="s">
        <v>18</v>
      </c>
      <c r="D375" s="65" t="s">
        <v>1798</v>
      </c>
      <c r="E375" s="66" t="s">
        <v>221</v>
      </c>
      <c r="F375" s="64">
        <v>3</v>
      </c>
      <c r="G375" s="335"/>
      <c r="H375" s="333">
        <f t="shared" si="72"/>
        <v>0</v>
      </c>
      <c r="I375" s="117">
        <f t="shared" si="74"/>
        <v>0</v>
      </c>
      <c r="J375" s="246" t="e">
        <f t="shared" si="73"/>
        <v>#DIV/0!</v>
      </c>
    </row>
    <row r="376" spans="1:11" s="100" customFormat="1" ht="15.75" customHeight="1" outlineLevel="1">
      <c r="A376" s="138" t="s">
        <v>746</v>
      </c>
      <c r="B376" s="63">
        <v>97665</v>
      </c>
      <c r="C376" s="63" t="s">
        <v>18</v>
      </c>
      <c r="D376" s="65" t="s">
        <v>1799</v>
      </c>
      <c r="E376" s="66" t="s">
        <v>221</v>
      </c>
      <c r="F376" s="64">
        <v>4</v>
      </c>
      <c r="G376" s="335"/>
      <c r="H376" s="333">
        <f t="shared" si="72"/>
        <v>0</v>
      </c>
      <c r="I376" s="117">
        <f t="shared" si="74"/>
        <v>0</v>
      </c>
      <c r="J376" s="246" t="e">
        <f t="shared" si="73"/>
        <v>#DIV/0!</v>
      </c>
    </row>
    <row r="377" spans="1:11" s="100" customFormat="1" ht="15.95" customHeight="1" outlineLevel="1">
      <c r="A377" s="138" t="s">
        <v>747</v>
      </c>
      <c r="B377" s="63" t="s">
        <v>126</v>
      </c>
      <c r="C377" s="63" t="s">
        <v>9</v>
      </c>
      <c r="D377" s="65" t="s">
        <v>386</v>
      </c>
      <c r="E377" s="66" t="s">
        <v>115</v>
      </c>
      <c r="F377" s="64">
        <v>27.2</v>
      </c>
      <c r="G377" s="335" t="s">
        <v>10</v>
      </c>
      <c r="H377" s="121"/>
      <c r="I377" s="117">
        <f t="shared" si="74"/>
        <v>0</v>
      </c>
      <c r="J377" s="246" t="e">
        <f t="shared" si="73"/>
        <v>#DIV/0!</v>
      </c>
    </row>
    <row r="378" spans="1:11" s="100" customFormat="1" ht="15.95" customHeight="1" outlineLevel="1">
      <c r="A378" s="138" t="s">
        <v>748</v>
      </c>
      <c r="B378" s="63" t="s">
        <v>125</v>
      </c>
      <c r="C378" s="63" t="s">
        <v>7</v>
      </c>
      <c r="D378" s="65" t="s">
        <v>592</v>
      </c>
      <c r="E378" s="68" t="s">
        <v>116</v>
      </c>
      <c r="F378" s="64">
        <v>6.89</v>
      </c>
      <c r="G378" s="335"/>
      <c r="H378" s="333">
        <f>TRUNC((G378*(1+$I$12)),2)</f>
        <v>0</v>
      </c>
      <c r="I378" s="117">
        <f t="shared" si="74"/>
        <v>0</v>
      </c>
      <c r="J378" s="246" t="e">
        <f t="shared" si="73"/>
        <v>#DIV/0!</v>
      </c>
    </row>
    <row r="379" spans="1:11" s="100" customFormat="1" ht="15.95" customHeight="1" outlineLevel="1">
      <c r="A379" s="138" t="s">
        <v>749</v>
      </c>
      <c r="B379" s="63" t="s">
        <v>32</v>
      </c>
      <c r="C379" s="63" t="s">
        <v>9</v>
      </c>
      <c r="D379" s="65" t="s">
        <v>598</v>
      </c>
      <c r="E379" s="68" t="s">
        <v>218</v>
      </c>
      <c r="F379" s="64">
        <f>49.49*0.1</f>
        <v>4.9490000000000007</v>
      </c>
      <c r="G379" s="139" t="s">
        <v>10</v>
      </c>
      <c r="H379" s="124"/>
      <c r="I379" s="117">
        <f t="shared" si="74"/>
        <v>0</v>
      </c>
      <c r="J379" s="246" t="e">
        <f t="shared" si="73"/>
        <v>#DIV/0!</v>
      </c>
    </row>
    <row r="380" spans="1:11" s="100" customFormat="1" ht="40.5" outlineLevel="1">
      <c r="A380" s="138" t="s">
        <v>750</v>
      </c>
      <c r="B380" s="63">
        <v>100983</v>
      </c>
      <c r="C380" s="63" t="s">
        <v>18</v>
      </c>
      <c r="D380" s="65" t="s">
        <v>1896</v>
      </c>
      <c r="E380" s="86" t="s">
        <v>218</v>
      </c>
      <c r="F380" s="80">
        <f>(0.1+0.04+1.48+0.01+0.35+0.5+0.5+0.08+4.95+0.5)*1.3</f>
        <v>11.063000000000001</v>
      </c>
      <c r="G380" s="124"/>
      <c r="H380" s="350">
        <f t="shared" ref="H380:H382" si="75">TRUNC((G380*(1+$I$12)),2)</f>
        <v>0</v>
      </c>
      <c r="I380" s="117">
        <f t="shared" si="74"/>
        <v>0</v>
      </c>
      <c r="J380" s="231" t="e">
        <f t="shared" si="73"/>
        <v>#DIV/0!</v>
      </c>
    </row>
    <row r="381" spans="1:11" s="100" customFormat="1" ht="27" outlineLevel="1">
      <c r="A381" s="138" t="s">
        <v>751</v>
      </c>
      <c r="B381" s="63">
        <v>95875</v>
      </c>
      <c r="C381" s="63" t="s">
        <v>18</v>
      </c>
      <c r="D381" s="65" t="s">
        <v>1898</v>
      </c>
      <c r="E381" s="86" t="s">
        <v>1897</v>
      </c>
      <c r="F381" s="80">
        <f>F380*4</f>
        <v>44.252000000000002</v>
      </c>
      <c r="G381" s="124"/>
      <c r="H381" s="350">
        <f t="shared" si="75"/>
        <v>0</v>
      </c>
      <c r="I381" s="117">
        <f t="shared" si="74"/>
        <v>0</v>
      </c>
      <c r="J381" s="231" t="e">
        <f t="shared" si="73"/>
        <v>#DIV/0!</v>
      </c>
    </row>
    <row r="382" spans="1:11" s="157" customFormat="1" ht="27" outlineLevel="1">
      <c r="A382" s="138" t="s">
        <v>752</v>
      </c>
      <c r="B382" s="63">
        <v>97084</v>
      </c>
      <c r="C382" s="63" t="s">
        <v>18</v>
      </c>
      <c r="D382" s="65" t="s">
        <v>791</v>
      </c>
      <c r="E382" s="68" t="s">
        <v>116</v>
      </c>
      <c r="F382" s="64">
        <v>49.49</v>
      </c>
      <c r="G382" s="350"/>
      <c r="H382" s="333">
        <f t="shared" si="75"/>
        <v>0</v>
      </c>
      <c r="I382" s="117">
        <f t="shared" si="74"/>
        <v>0</v>
      </c>
      <c r="J382" s="246" t="e">
        <f t="shared" si="73"/>
        <v>#DIV/0!</v>
      </c>
    </row>
    <row r="383" spans="1:11" s="100" customFormat="1" ht="27" outlineLevel="1">
      <c r="A383" s="138" t="s">
        <v>753</v>
      </c>
      <c r="B383" s="128">
        <v>96622</v>
      </c>
      <c r="C383" s="128" t="s">
        <v>18</v>
      </c>
      <c r="D383" s="82" t="s">
        <v>1895</v>
      </c>
      <c r="E383" s="88" t="s">
        <v>218</v>
      </c>
      <c r="F383" s="75">
        <f>F382*0.05</f>
        <v>2.4745000000000004</v>
      </c>
      <c r="G383" s="145"/>
      <c r="H383" s="333">
        <f>TRUNC((G383*(1+$I$12)),2)</f>
        <v>0</v>
      </c>
      <c r="I383" s="117">
        <f t="shared" si="74"/>
        <v>0</v>
      </c>
      <c r="J383" s="246" t="e">
        <f t="shared" si="73"/>
        <v>#DIV/0!</v>
      </c>
    </row>
    <row r="384" spans="1:11" s="100" customFormat="1" ht="27" outlineLevel="1">
      <c r="A384" s="138" t="s">
        <v>754</v>
      </c>
      <c r="B384" s="128">
        <v>95241</v>
      </c>
      <c r="C384" s="128" t="s">
        <v>18</v>
      </c>
      <c r="D384" s="82" t="s">
        <v>1894</v>
      </c>
      <c r="E384" s="88" t="s">
        <v>116</v>
      </c>
      <c r="F384" s="75">
        <f>F382</f>
        <v>49.49</v>
      </c>
      <c r="G384" s="145"/>
      <c r="H384" s="333">
        <f>TRUNC((G384*(1+$I$12)),2)</f>
        <v>0</v>
      </c>
      <c r="I384" s="117">
        <f t="shared" si="74"/>
        <v>0</v>
      </c>
      <c r="J384" s="246" t="e">
        <f t="shared" si="73"/>
        <v>#DIV/0!</v>
      </c>
    </row>
    <row r="385" spans="1:12" s="100" customFormat="1" ht="40.5" outlineLevel="1">
      <c r="A385" s="138" t="s">
        <v>755</v>
      </c>
      <c r="B385" s="63">
        <v>104162</v>
      </c>
      <c r="C385" s="63" t="s">
        <v>18</v>
      </c>
      <c r="D385" s="65" t="s">
        <v>387</v>
      </c>
      <c r="E385" s="66" t="s">
        <v>116</v>
      </c>
      <c r="F385" s="64">
        <v>49.49</v>
      </c>
      <c r="G385" s="335"/>
      <c r="H385" s="333">
        <f t="shared" ref="H385:H393" si="76">TRUNC((G385*(1+$I$12)),2)</f>
        <v>0</v>
      </c>
      <c r="I385" s="117">
        <f t="shared" si="74"/>
        <v>0</v>
      </c>
      <c r="J385" s="246" t="e">
        <f t="shared" si="73"/>
        <v>#DIV/0!</v>
      </c>
      <c r="K385" s="100">
        <f>((2*2.1*0.15)+(0.9*0.15))</f>
        <v>0.76500000000000001</v>
      </c>
    </row>
    <row r="386" spans="1:12" s="100" customFormat="1" ht="15.95" customHeight="1" outlineLevel="1">
      <c r="A386" s="138" t="s">
        <v>756</v>
      </c>
      <c r="B386" s="63">
        <v>101741</v>
      </c>
      <c r="C386" s="63" t="s">
        <v>18</v>
      </c>
      <c r="D386" s="65" t="s">
        <v>388</v>
      </c>
      <c r="E386" s="66" t="s">
        <v>115</v>
      </c>
      <c r="F386" s="64">
        <v>27.2</v>
      </c>
      <c r="G386" s="335"/>
      <c r="H386" s="333">
        <f t="shared" si="76"/>
        <v>0</v>
      </c>
      <c r="I386" s="117">
        <f t="shared" si="74"/>
        <v>0</v>
      </c>
      <c r="J386" s="246" t="e">
        <f t="shared" si="73"/>
        <v>#DIV/0!</v>
      </c>
      <c r="K386" s="100">
        <f>(((13.75*2.76))-((0.9*2.1)+(3.4*1.5)))</f>
        <v>30.959999999999994</v>
      </c>
    </row>
    <row r="387" spans="1:12" s="100" customFormat="1" ht="27" outlineLevel="1">
      <c r="A387" s="138" t="s">
        <v>757</v>
      </c>
      <c r="B387" s="63">
        <v>96116</v>
      </c>
      <c r="C387" s="63" t="s">
        <v>18</v>
      </c>
      <c r="D387" s="65" t="s">
        <v>593</v>
      </c>
      <c r="E387" s="66" t="s">
        <v>116</v>
      </c>
      <c r="F387" s="64">
        <v>49.35</v>
      </c>
      <c r="G387" s="335"/>
      <c r="H387" s="333">
        <f t="shared" si="76"/>
        <v>0</v>
      </c>
      <c r="I387" s="117">
        <f t="shared" si="74"/>
        <v>0</v>
      </c>
      <c r="J387" s="246" t="e">
        <f t="shared" si="73"/>
        <v>#DIV/0!</v>
      </c>
    </row>
    <row r="388" spans="1:12" s="100" customFormat="1" ht="19.5" customHeight="1" outlineLevel="1">
      <c r="A388" s="138" t="s">
        <v>758</v>
      </c>
      <c r="B388" s="63" t="s">
        <v>10</v>
      </c>
      <c r="C388" s="63" t="str">
        <f>[1]Composições!$I$114</f>
        <v>COMP08</v>
      </c>
      <c r="D388" s="65" t="str">
        <f>[1]Composições!$B$114</f>
        <v>REQUADRO DE PORTAS E JANELAS</v>
      </c>
      <c r="E388" s="66" t="s">
        <v>116</v>
      </c>
      <c r="F388" s="64">
        <v>0.77</v>
      </c>
      <c r="G388" s="335"/>
      <c r="H388" s="333">
        <f t="shared" si="76"/>
        <v>0</v>
      </c>
      <c r="I388" s="117">
        <f t="shared" si="74"/>
        <v>0</v>
      </c>
      <c r="J388" s="246" t="e">
        <f t="shared" si="73"/>
        <v>#DIV/0!</v>
      </c>
    </row>
    <row r="389" spans="1:12" s="100" customFormat="1" ht="40.5" outlineLevel="1">
      <c r="A389" s="138" t="s">
        <v>759</v>
      </c>
      <c r="B389" s="63">
        <v>90844</v>
      </c>
      <c r="C389" s="63" t="s">
        <v>18</v>
      </c>
      <c r="D389" s="65" t="s">
        <v>392</v>
      </c>
      <c r="E389" s="66" t="s">
        <v>221</v>
      </c>
      <c r="F389" s="64">
        <v>1</v>
      </c>
      <c r="G389" s="243"/>
      <c r="H389" s="241">
        <f t="shared" si="76"/>
        <v>0</v>
      </c>
      <c r="I389" s="117">
        <f t="shared" si="74"/>
        <v>0</v>
      </c>
      <c r="J389" s="246" t="e">
        <f t="shared" si="73"/>
        <v>#DIV/0!</v>
      </c>
      <c r="K389" s="100">
        <f>((28.1*1)-(0.9*1))</f>
        <v>27.200000000000003</v>
      </c>
    </row>
    <row r="390" spans="1:12" s="100" customFormat="1" ht="15.95" customHeight="1" outlineLevel="1">
      <c r="A390" s="138" t="s">
        <v>760</v>
      </c>
      <c r="B390" s="63">
        <v>88495</v>
      </c>
      <c r="C390" s="63" t="s">
        <v>18</v>
      </c>
      <c r="D390" s="65" t="s">
        <v>393</v>
      </c>
      <c r="E390" s="66" t="s">
        <v>116</v>
      </c>
      <c r="F390" s="64">
        <v>36.58</v>
      </c>
      <c r="G390" s="137"/>
      <c r="H390" s="117">
        <f t="shared" si="76"/>
        <v>0</v>
      </c>
      <c r="I390" s="117">
        <f t="shared" si="74"/>
        <v>0</v>
      </c>
      <c r="J390" s="246" t="e">
        <f t="shared" si="73"/>
        <v>#DIV/0!</v>
      </c>
    </row>
    <row r="391" spans="1:12" s="100" customFormat="1" outlineLevel="1">
      <c r="A391" s="138" t="s">
        <v>761</v>
      </c>
      <c r="B391" s="63">
        <v>88489</v>
      </c>
      <c r="C391" s="63" t="s">
        <v>18</v>
      </c>
      <c r="D391" s="65" t="s">
        <v>36</v>
      </c>
      <c r="E391" s="66" t="s">
        <v>116</v>
      </c>
      <c r="F391" s="64">
        <v>36.58</v>
      </c>
      <c r="G391" s="137"/>
      <c r="H391" s="117">
        <f t="shared" si="76"/>
        <v>0</v>
      </c>
      <c r="I391" s="117">
        <f t="shared" si="74"/>
        <v>0</v>
      </c>
      <c r="J391" s="246" t="e">
        <f t="shared" si="73"/>
        <v>#DIV/0!</v>
      </c>
    </row>
    <row r="392" spans="1:12" s="100" customFormat="1" ht="15.95" customHeight="1" outlineLevel="1">
      <c r="A392" s="138" t="s">
        <v>762</v>
      </c>
      <c r="B392" s="63" t="s">
        <v>256</v>
      </c>
      <c r="C392" s="63" t="s">
        <v>7</v>
      </c>
      <c r="D392" s="65" t="s">
        <v>596</v>
      </c>
      <c r="E392" s="66" t="s">
        <v>116</v>
      </c>
      <c r="F392" s="64">
        <v>27.2</v>
      </c>
      <c r="G392" s="137"/>
      <c r="H392" s="117">
        <f t="shared" si="76"/>
        <v>0</v>
      </c>
      <c r="I392" s="117">
        <f t="shared" si="74"/>
        <v>0</v>
      </c>
      <c r="J392" s="246" t="e">
        <f t="shared" si="73"/>
        <v>#DIV/0!</v>
      </c>
      <c r="K392" s="135" t="e">
        <f>I379+I384+I385+I386+#REF!+#REF!</f>
        <v>#REF!</v>
      </c>
      <c r="L392" s="135"/>
    </row>
    <row r="393" spans="1:12" s="100" customFormat="1" ht="15.95" customHeight="1" outlineLevel="1">
      <c r="A393" s="138" t="s">
        <v>763</v>
      </c>
      <c r="B393" s="63" t="s">
        <v>595</v>
      </c>
      <c r="C393" s="63" t="s">
        <v>7</v>
      </c>
      <c r="D393" s="65" t="s">
        <v>594</v>
      </c>
      <c r="E393" s="66" t="s">
        <v>116</v>
      </c>
      <c r="F393" s="64">
        <v>6.89</v>
      </c>
      <c r="G393" s="243"/>
      <c r="H393" s="117">
        <f t="shared" si="76"/>
        <v>0</v>
      </c>
      <c r="I393" s="117">
        <f t="shared" si="74"/>
        <v>0</v>
      </c>
      <c r="J393" s="246" t="e">
        <f t="shared" si="73"/>
        <v>#DIV/0!</v>
      </c>
      <c r="K393" s="135" t="e">
        <f>K392*10</f>
        <v>#REF!</v>
      </c>
      <c r="L393" s="135"/>
    </row>
    <row r="394" spans="1:12" s="100" customFormat="1" outlineLevel="1">
      <c r="A394" s="138" t="s">
        <v>764</v>
      </c>
      <c r="B394" s="63" t="s">
        <v>131</v>
      </c>
      <c r="C394" s="63" t="s">
        <v>9</v>
      </c>
      <c r="D394" s="65" t="s">
        <v>602</v>
      </c>
      <c r="E394" s="66" t="s">
        <v>115</v>
      </c>
      <c r="F394" s="64">
        <v>5.3</v>
      </c>
      <c r="G394" s="147" t="s">
        <v>10</v>
      </c>
      <c r="H394" s="117"/>
      <c r="I394" s="117">
        <f t="shared" si="74"/>
        <v>0</v>
      </c>
      <c r="J394" s="246" t="e">
        <f t="shared" si="73"/>
        <v>#DIV/0!</v>
      </c>
      <c r="K394" s="135"/>
      <c r="L394" s="135"/>
    </row>
    <row r="395" spans="1:12" s="100" customFormat="1" ht="27" outlineLevel="1">
      <c r="A395" s="138" t="s">
        <v>765</v>
      </c>
      <c r="B395" s="63">
        <v>102219</v>
      </c>
      <c r="C395" s="63" t="s">
        <v>18</v>
      </c>
      <c r="D395" s="65" t="s">
        <v>600</v>
      </c>
      <c r="E395" s="66" t="s">
        <v>116</v>
      </c>
      <c r="F395" s="64">
        <v>5.67</v>
      </c>
      <c r="G395" s="137"/>
      <c r="H395" s="117">
        <f t="shared" ref="H395" si="77">TRUNC((G395*(1+$I$12)),2)</f>
        <v>0</v>
      </c>
      <c r="I395" s="117">
        <f t="shared" si="74"/>
        <v>0</v>
      </c>
      <c r="J395" s="246" t="e">
        <f t="shared" si="73"/>
        <v>#DIV/0!</v>
      </c>
      <c r="K395" s="100">
        <f>(3.4*1.5*4)+(1.1*2.1)</f>
        <v>22.71</v>
      </c>
    </row>
    <row r="396" spans="1:12" s="100" customFormat="1" ht="15.75" customHeight="1" outlineLevel="1">
      <c r="A396" s="138" t="s">
        <v>766</v>
      </c>
      <c r="B396" s="63" t="s">
        <v>11</v>
      </c>
      <c r="C396" s="63" t="s">
        <v>9</v>
      </c>
      <c r="D396" s="65" t="s">
        <v>398</v>
      </c>
      <c r="E396" s="66" t="s">
        <v>116</v>
      </c>
      <c r="F396" s="64">
        <v>10.199999999999999</v>
      </c>
      <c r="G396" s="243" t="s">
        <v>10</v>
      </c>
      <c r="H396" s="121"/>
      <c r="I396" s="117">
        <f t="shared" si="74"/>
        <v>0</v>
      </c>
      <c r="J396" s="246" t="e">
        <f t="shared" si="73"/>
        <v>#DIV/0!</v>
      </c>
    </row>
    <row r="397" spans="1:12" s="100" customFormat="1" ht="15.75" customHeight="1" outlineLevel="1">
      <c r="A397" s="138" t="s">
        <v>767</v>
      </c>
      <c r="B397" s="63" t="s">
        <v>597</v>
      </c>
      <c r="C397" s="63" t="s">
        <v>9</v>
      </c>
      <c r="D397" s="65" t="s">
        <v>601</v>
      </c>
      <c r="E397" s="66" t="s">
        <v>218</v>
      </c>
      <c r="F397" s="64">
        <v>0.19</v>
      </c>
      <c r="G397" s="243" t="s">
        <v>10</v>
      </c>
      <c r="H397" s="121"/>
      <c r="I397" s="117">
        <f t="shared" si="74"/>
        <v>0</v>
      </c>
      <c r="J397" s="246" t="e">
        <f t="shared" si="73"/>
        <v>#DIV/0!</v>
      </c>
    </row>
    <row r="398" spans="1:12" s="100" customFormat="1" ht="27" outlineLevel="1">
      <c r="A398" s="138" t="s">
        <v>773</v>
      </c>
      <c r="B398" s="103">
        <v>102219</v>
      </c>
      <c r="C398" s="103" t="s">
        <v>18</v>
      </c>
      <c r="D398" s="85" t="s">
        <v>599</v>
      </c>
      <c r="E398" s="86" t="s">
        <v>116</v>
      </c>
      <c r="F398" s="80">
        <f>F397/0.03</f>
        <v>6.3333333333333339</v>
      </c>
      <c r="G398" s="241"/>
      <c r="H398" s="125">
        <f t="shared" ref="H398" si="78">TRUNC((G398*(1+$I$12)),2)</f>
        <v>0</v>
      </c>
      <c r="I398" s="117">
        <f t="shared" si="74"/>
        <v>0</v>
      </c>
      <c r="J398" s="246" t="e">
        <f t="shared" si="73"/>
        <v>#DIV/0!</v>
      </c>
    </row>
    <row r="399" spans="1:12" s="100" customFormat="1" ht="15.95" customHeight="1" outlineLevel="1">
      <c r="A399" s="138" t="s">
        <v>1912</v>
      </c>
      <c r="B399" s="63" t="s">
        <v>10</v>
      </c>
      <c r="C399" s="63" t="str">
        <f>[1]Composições!$I$107</f>
        <v>COMP07</v>
      </c>
      <c r="D399" s="65" t="str">
        <f>[1]Composições!$B$107</f>
        <v>INSTALAÇÃO DE VENTILADOR</v>
      </c>
      <c r="E399" s="66" t="s">
        <v>221</v>
      </c>
      <c r="F399" s="64">
        <v>2</v>
      </c>
      <c r="G399" s="137"/>
      <c r="H399" s="333">
        <f>TRUNC((G399*(1+$I$12)),2)</f>
        <v>0</v>
      </c>
      <c r="I399" s="117">
        <f>ROUND((F399*H399),2)</f>
        <v>0</v>
      </c>
      <c r="J399" s="246" t="e">
        <f t="shared" si="73"/>
        <v>#DIV/0!</v>
      </c>
    </row>
    <row r="400" spans="1:12" ht="15.95" customHeight="1">
      <c r="A400" s="378" t="s">
        <v>768</v>
      </c>
      <c r="B400" s="378"/>
      <c r="C400" s="378"/>
      <c r="D400" s="378"/>
      <c r="E400" s="378"/>
      <c r="F400" s="378"/>
      <c r="G400" s="378"/>
      <c r="H400" s="378"/>
      <c r="I400" s="179">
        <f>SUM(I372:I399)</f>
        <v>0</v>
      </c>
      <c r="J400" s="315" t="e">
        <f>SUM(J372:J399)</f>
        <v>#DIV/0!</v>
      </c>
      <c r="K400" s="318" t="e">
        <f>I400/$I$432</f>
        <v>#DIV/0!</v>
      </c>
    </row>
    <row r="401" spans="1:11" ht="15.95" customHeight="1">
      <c r="A401" s="61" t="s">
        <v>769</v>
      </c>
      <c r="B401" s="394"/>
      <c r="C401" s="394"/>
      <c r="D401" s="143" t="s">
        <v>154</v>
      </c>
      <c r="E401" s="394"/>
      <c r="F401" s="394"/>
      <c r="G401" s="394"/>
      <c r="H401" s="394"/>
      <c r="I401" s="394"/>
      <c r="J401" s="394"/>
    </row>
    <row r="402" spans="1:11" s="100" customFormat="1" ht="15.95" customHeight="1" outlineLevel="1">
      <c r="A402" s="138" t="s">
        <v>899</v>
      </c>
      <c r="B402" s="5">
        <v>97644</v>
      </c>
      <c r="C402" s="5" t="s">
        <v>18</v>
      </c>
      <c r="D402" s="106" t="s">
        <v>463</v>
      </c>
      <c r="E402" s="109" t="s">
        <v>116</v>
      </c>
      <c r="F402" s="64">
        <f>2.1*0.9</f>
        <v>1.8900000000000001</v>
      </c>
      <c r="G402" s="116"/>
      <c r="H402" s="241">
        <f t="shared" ref="H402:H406" si="79">TRUNC((G402*(1+$I$12)),2)</f>
        <v>0</v>
      </c>
      <c r="I402" s="117">
        <f>ROUND((F402*H402),2)</f>
        <v>0</v>
      </c>
      <c r="J402" s="246" t="e">
        <f t="shared" ref="J402:J430" si="80">(I402/$I$1421)</f>
        <v>#DIV/0!</v>
      </c>
    </row>
    <row r="403" spans="1:11" s="100" customFormat="1" ht="27" outlineLevel="1">
      <c r="A403" s="138" t="s">
        <v>900</v>
      </c>
      <c r="B403" s="5">
        <v>97640</v>
      </c>
      <c r="C403" s="5" t="s">
        <v>18</v>
      </c>
      <c r="D403" s="106" t="s">
        <v>1797</v>
      </c>
      <c r="E403" s="109" t="s">
        <v>116</v>
      </c>
      <c r="F403" s="64">
        <v>49.35</v>
      </c>
      <c r="G403" s="137"/>
      <c r="H403" s="241">
        <f t="shared" si="79"/>
        <v>0</v>
      </c>
      <c r="I403" s="117">
        <f t="shared" ref="I403:I429" si="81">ROUND((F403*H403),2)</f>
        <v>0</v>
      </c>
      <c r="J403" s="246" t="e">
        <f t="shared" si="80"/>
        <v>#DIV/0!</v>
      </c>
    </row>
    <row r="404" spans="1:11" s="100" customFormat="1" ht="15.95" customHeight="1" outlineLevel="1">
      <c r="A404" s="138" t="s">
        <v>901</v>
      </c>
      <c r="B404" s="63" t="s">
        <v>135</v>
      </c>
      <c r="C404" s="63" t="s">
        <v>7</v>
      </c>
      <c r="D404" s="65" t="s">
        <v>383</v>
      </c>
      <c r="E404" s="66" t="s">
        <v>115</v>
      </c>
      <c r="F404" s="64">
        <v>54.45</v>
      </c>
      <c r="G404" s="335"/>
      <c r="H404" s="333">
        <f t="shared" si="79"/>
        <v>0</v>
      </c>
      <c r="I404" s="117">
        <f t="shared" si="81"/>
        <v>0</v>
      </c>
      <c r="J404" s="246" t="e">
        <f t="shared" si="80"/>
        <v>#DIV/0!</v>
      </c>
    </row>
    <row r="405" spans="1:11" s="100" customFormat="1" ht="27" outlineLevel="1">
      <c r="A405" s="138" t="s">
        <v>902</v>
      </c>
      <c r="B405" s="63">
        <v>97660</v>
      </c>
      <c r="C405" s="63" t="s">
        <v>18</v>
      </c>
      <c r="D405" s="65" t="s">
        <v>1798</v>
      </c>
      <c r="E405" s="66" t="s">
        <v>221</v>
      </c>
      <c r="F405" s="64">
        <v>8</v>
      </c>
      <c r="G405" s="335"/>
      <c r="H405" s="333">
        <f t="shared" si="79"/>
        <v>0</v>
      </c>
      <c r="I405" s="117">
        <f t="shared" si="81"/>
        <v>0</v>
      </c>
      <c r="J405" s="246" t="e">
        <f t="shared" si="80"/>
        <v>#DIV/0!</v>
      </c>
    </row>
    <row r="406" spans="1:11" s="100" customFormat="1" ht="15.75" customHeight="1" outlineLevel="1">
      <c r="A406" s="138" t="s">
        <v>903</v>
      </c>
      <c r="B406" s="63">
        <v>97665</v>
      </c>
      <c r="C406" s="63" t="s">
        <v>18</v>
      </c>
      <c r="D406" s="65" t="s">
        <v>1799</v>
      </c>
      <c r="E406" s="66" t="s">
        <v>221</v>
      </c>
      <c r="F406" s="64">
        <v>4</v>
      </c>
      <c r="G406" s="335"/>
      <c r="H406" s="333">
        <f t="shared" si="79"/>
        <v>0</v>
      </c>
      <c r="I406" s="117">
        <f t="shared" si="81"/>
        <v>0</v>
      </c>
      <c r="J406" s="246" t="e">
        <f t="shared" si="80"/>
        <v>#DIV/0!</v>
      </c>
    </row>
    <row r="407" spans="1:11" s="100" customFormat="1" ht="15.95" customHeight="1" outlineLevel="1">
      <c r="A407" s="138" t="s">
        <v>904</v>
      </c>
      <c r="B407" s="63" t="s">
        <v>126</v>
      </c>
      <c r="C407" s="63" t="s">
        <v>9</v>
      </c>
      <c r="D407" s="65" t="s">
        <v>386</v>
      </c>
      <c r="E407" s="66" t="s">
        <v>115</v>
      </c>
      <c r="F407" s="64">
        <v>27.2</v>
      </c>
      <c r="G407" s="335" t="s">
        <v>10</v>
      </c>
      <c r="H407" s="121"/>
      <c r="I407" s="117">
        <f t="shared" si="81"/>
        <v>0</v>
      </c>
      <c r="J407" s="246" t="e">
        <f t="shared" si="80"/>
        <v>#DIV/0!</v>
      </c>
    </row>
    <row r="408" spans="1:11" s="100" customFormat="1" ht="15.95" customHeight="1" outlineLevel="1">
      <c r="A408" s="138" t="s">
        <v>905</v>
      </c>
      <c r="B408" s="63" t="s">
        <v>125</v>
      </c>
      <c r="C408" s="63" t="s">
        <v>7</v>
      </c>
      <c r="D408" s="65" t="s">
        <v>592</v>
      </c>
      <c r="E408" s="68" t="s">
        <v>116</v>
      </c>
      <c r="F408" s="64">
        <v>6.89</v>
      </c>
      <c r="G408" s="335"/>
      <c r="H408" s="333">
        <f>TRUNC((G408*(1+$I$12)),2)</f>
        <v>0</v>
      </c>
      <c r="I408" s="117">
        <f t="shared" si="81"/>
        <v>0</v>
      </c>
      <c r="J408" s="246" t="e">
        <f t="shared" si="80"/>
        <v>#DIV/0!</v>
      </c>
    </row>
    <row r="409" spans="1:11" s="100" customFormat="1" ht="15.95" customHeight="1" outlineLevel="1">
      <c r="A409" s="138" t="s">
        <v>906</v>
      </c>
      <c r="B409" s="63" t="s">
        <v>772</v>
      </c>
      <c r="C409" s="63" t="s">
        <v>7</v>
      </c>
      <c r="D409" s="65" t="s">
        <v>771</v>
      </c>
      <c r="E409" s="68" t="s">
        <v>116</v>
      </c>
      <c r="F409" s="64">
        <f>0.186*0.173</f>
        <v>3.2177999999999998E-2</v>
      </c>
      <c r="G409" s="139"/>
      <c r="H409" s="124">
        <f>TRUNC((G409*(1+$I$12)),2)</f>
        <v>0</v>
      </c>
      <c r="I409" s="117">
        <f t="shared" si="81"/>
        <v>0</v>
      </c>
      <c r="J409" s="246" t="e">
        <f t="shared" si="80"/>
        <v>#DIV/0!</v>
      </c>
    </row>
    <row r="410" spans="1:11" s="100" customFormat="1" ht="15.95" customHeight="1" outlineLevel="1">
      <c r="A410" s="138" t="s">
        <v>907</v>
      </c>
      <c r="B410" s="63" t="s">
        <v>32</v>
      </c>
      <c r="C410" s="63" t="s">
        <v>9</v>
      </c>
      <c r="D410" s="65" t="s">
        <v>598</v>
      </c>
      <c r="E410" s="68" t="s">
        <v>218</v>
      </c>
      <c r="F410" s="64">
        <f>49.49*0.1</f>
        <v>4.9490000000000007</v>
      </c>
      <c r="G410" s="139" t="s">
        <v>10</v>
      </c>
      <c r="H410" s="124"/>
      <c r="I410" s="117">
        <f t="shared" si="81"/>
        <v>0</v>
      </c>
      <c r="J410" s="246" t="e">
        <f t="shared" si="80"/>
        <v>#DIV/0!</v>
      </c>
    </row>
    <row r="411" spans="1:11" s="100" customFormat="1" ht="40.5" outlineLevel="1">
      <c r="A411" s="138" t="s">
        <v>908</v>
      </c>
      <c r="B411" s="63">
        <v>100983</v>
      </c>
      <c r="C411" s="63" t="s">
        <v>18</v>
      </c>
      <c r="D411" s="65" t="s">
        <v>1896</v>
      </c>
      <c r="E411" s="86" t="s">
        <v>218</v>
      </c>
      <c r="F411" s="80">
        <f>(0.1+0.04+1.48+0.02+0.35+0.5+0.5+0.08+4.95+0.5)*1.3</f>
        <v>11.076000000000001</v>
      </c>
      <c r="G411" s="124"/>
      <c r="H411" s="350">
        <f t="shared" ref="H411:H413" si="82">TRUNC((G411*(1+$I$12)),2)</f>
        <v>0</v>
      </c>
      <c r="I411" s="117">
        <f t="shared" si="81"/>
        <v>0</v>
      </c>
      <c r="J411" s="231" t="e">
        <f t="shared" si="80"/>
        <v>#DIV/0!</v>
      </c>
    </row>
    <row r="412" spans="1:11" s="100" customFormat="1" ht="27" outlineLevel="1">
      <c r="A412" s="138" t="s">
        <v>909</v>
      </c>
      <c r="B412" s="63">
        <v>95875</v>
      </c>
      <c r="C412" s="63" t="s">
        <v>18</v>
      </c>
      <c r="D412" s="65" t="s">
        <v>1898</v>
      </c>
      <c r="E412" s="86" t="s">
        <v>1897</v>
      </c>
      <c r="F412" s="80">
        <f>F411*4</f>
        <v>44.304000000000002</v>
      </c>
      <c r="G412" s="124"/>
      <c r="H412" s="350">
        <f t="shared" si="82"/>
        <v>0</v>
      </c>
      <c r="I412" s="117">
        <f t="shared" si="81"/>
        <v>0</v>
      </c>
      <c r="J412" s="231" t="e">
        <f t="shared" si="80"/>
        <v>#DIV/0!</v>
      </c>
    </row>
    <row r="413" spans="1:11" s="157" customFormat="1" ht="27" outlineLevel="1">
      <c r="A413" s="138" t="s">
        <v>910</v>
      </c>
      <c r="B413" s="63">
        <v>97084</v>
      </c>
      <c r="C413" s="63" t="s">
        <v>18</v>
      </c>
      <c r="D413" s="65" t="s">
        <v>791</v>
      </c>
      <c r="E413" s="68" t="s">
        <v>116</v>
      </c>
      <c r="F413" s="64">
        <v>49.49</v>
      </c>
      <c r="G413" s="350"/>
      <c r="H413" s="333">
        <f t="shared" si="82"/>
        <v>0</v>
      </c>
      <c r="I413" s="117">
        <f t="shared" si="81"/>
        <v>0</v>
      </c>
      <c r="J413" s="246" t="e">
        <f t="shared" si="80"/>
        <v>#DIV/0!</v>
      </c>
    </row>
    <row r="414" spans="1:11" s="100" customFormat="1" ht="27" outlineLevel="1">
      <c r="A414" s="138" t="s">
        <v>911</v>
      </c>
      <c r="B414" s="128">
        <v>96622</v>
      </c>
      <c r="C414" s="128" t="s">
        <v>18</v>
      </c>
      <c r="D414" s="82" t="s">
        <v>1895</v>
      </c>
      <c r="E414" s="88" t="s">
        <v>218</v>
      </c>
      <c r="F414" s="75">
        <f>F413*0.05</f>
        <v>2.4745000000000004</v>
      </c>
      <c r="G414" s="145"/>
      <c r="H414" s="333">
        <f>TRUNC((G414*(1+$I$12)),2)</f>
        <v>0</v>
      </c>
      <c r="I414" s="117">
        <f t="shared" si="81"/>
        <v>0</v>
      </c>
      <c r="J414" s="246" t="e">
        <f t="shared" si="80"/>
        <v>#DIV/0!</v>
      </c>
    </row>
    <row r="415" spans="1:11" s="100" customFormat="1" ht="27" outlineLevel="1">
      <c r="A415" s="138" t="s">
        <v>912</v>
      </c>
      <c r="B415" s="128">
        <v>95241</v>
      </c>
      <c r="C415" s="128" t="s">
        <v>18</v>
      </c>
      <c r="D415" s="82" t="s">
        <v>1894</v>
      </c>
      <c r="E415" s="88" t="s">
        <v>116</v>
      </c>
      <c r="F415" s="75">
        <f>F413</f>
        <v>49.49</v>
      </c>
      <c r="G415" s="145"/>
      <c r="H415" s="333">
        <f>TRUNC((G415*(1+$I$12)),2)</f>
        <v>0</v>
      </c>
      <c r="I415" s="117">
        <f t="shared" si="81"/>
        <v>0</v>
      </c>
      <c r="J415" s="246" t="e">
        <f t="shared" si="80"/>
        <v>#DIV/0!</v>
      </c>
    </row>
    <row r="416" spans="1:11" s="100" customFormat="1" ht="40.5" outlineLevel="1">
      <c r="A416" s="138" t="s">
        <v>913</v>
      </c>
      <c r="B416" s="63">
        <v>104162</v>
      </c>
      <c r="C416" s="63" t="s">
        <v>18</v>
      </c>
      <c r="D416" s="65" t="s">
        <v>387</v>
      </c>
      <c r="E416" s="66" t="s">
        <v>116</v>
      </c>
      <c r="F416" s="64">
        <v>49.49</v>
      </c>
      <c r="G416" s="335"/>
      <c r="H416" s="333">
        <f t="shared" ref="H416:H424" si="83">TRUNC((G416*(1+$I$12)),2)</f>
        <v>0</v>
      </c>
      <c r="I416" s="117">
        <f t="shared" si="81"/>
        <v>0</v>
      </c>
      <c r="J416" s="246" t="e">
        <f t="shared" si="80"/>
        <v>#DIV/0!</v>
      </c>
      <c r="K416" s="100">
        <f>((2*2.1*0.15)+(0.9*0.15))</f>
        <v>0.76500000000000001</v>
      </c>
    </row>
    <row r="417" spans="1:12" s="100" customFormat="1" ht="15.95" customHeight="1" outlineLevel="1">
      <c r="A417" s="138" t="s">
        <v>914</v>
      </c>
      <c r="B417" s="63">
        <v>101741</v>
      </c>
      <c r="C417" s="63" t="s">
        <v>18</v>
      </c>
      <c r="D417" s="65" t="s">
        <v>388</v>
      </c>
      <c r="E417" s="66" t="s">
        <v>115</v>
      </c>
      <c r="F417" s="64">
        <v>27.2</v>
      </c>
      <c r="G417" s="335"/>
      <c r="H417" s="333">
        <f t="shared" si="83"/>
        <v>0</v>
      </c>
      <c r="I417" s="117">
        <f t="shared" si="81"/>
        <v>0</v>
      </c>
      <c r="J417" s="246" t="e">
        <f t="shared" si="80"/>
        <v>#DIV/0!</v>
      </c>
      <c r="K417" s="100">
        <f>(((13.75*2.76))-((0.9*2.1)+(3.4*1.5)))</f>
        <v>30.959999999999994</v>
      </c>
    </row>
    <row r="418" spans="1:12" s="100" customFormat="1" ht="27" outlineLevel="1">
      <c r="A418" s="138" t="s">
        <v>915</v>
      </c>
      <c r="B418" s="63">
        <v>96116</v>
      </c>
      <c r="C418" s="63" t="s">
        <v>18</v>
      </c>
      <c r="D418" s="65" t="s">
        <v>593</v>
      </c>
      <c r="E418" s="66" t="s">
        <v>116</v>
      </c>
      <c r="F418" s="64">
        <v>49.35</v>
      </c>
      <c r="G418" s="335"/>
      <c r="H418" s="333">
        <f t="shared" si="83"/>
        <v>0</v>
      </c>
      <c r="I418" s="117">
        <f t="shared" si="81"/>
        <v>0</v>
      </c>
      <c r="J418" s="246" t="e">
        <f t="shared" si="80"/>
        <v>#DIV/0!</v>
      </c>
    </row>
    <row r="419" spans="1:12" s="100" customFormat="1" ht="19.5" customHeight="1" outlineLevel="1">
      <c r="A419" s="138" t="s">
        <v>916</v>
      </c>
      <c r="B419" s="63" t="s">
        <v>10</v>
      </c>
      <c r="C419" s="63" t="str">
        <f>[1]Composições!$I$114</f>
        <v>COMP08</v>
      </c>
      <c r="D419" s="65" t="str">
        <f>[1]Composições!$B$114</f>
        <v>REQUADRO DE PORTAS E JANELAS</v>
      </c>
      <c r="E419" s="66" t="s">
        <v>116</v>
      </c>
      <c r="F419" s="64">
        <v>0.77</v>
      </c>
      <c r="G419" s="335"/>
      <c r="H419" s="333">
        <f t="shared" si="83"/>
        <v>0</v>
      </c>
      <c r="I419" s="117">
        <f t="shared" si="81"/>
        <v>0</v>
      </c>
      <c r="J419" s="246" t="e">
        <f t="shared" si="80"/>
        <v>#DIV/0!</v>
      </c>
    </row>
    <row r="420" spans="1:12" s="100" customFormat="1" ht="40.5" outlineLevel="1">
      <c r="A420" s="138" t="s">
        <v>917</v>
      </c>
      <c r="B420" s="63">
        <v>90844</v>
      </c>
      <c r="C420" s="63" t="s">
        <v>18</v>
      </c>
      <c r="D420" s="65" t="s">
        <v>392</v>
      </c>
      <c r="E420" s="66" t="s">
        <v>221</v>
      </c>
      <c r="F420" s="64">
        <v>1</v>
      </c>
      <c r="G420" s="335"/>
      <c r="H420" s="333">
        <f t="shared" si="83"/>
        <v>0</v>
      </c>
      <c r="I420" s="117">
        <f t="shared" si="81"/>
        <v>0</v>
      </c>
      <c r="J420" s="246" t="e">
        <f t="shared" si="80"/>
        <v>#DIV/0!</v>
      </c>
      <c r="K420" s="100">
        <f>((28.1*1)-(0.9*1))</f>
        <v>27.200000000000003</v>
      </c>
    </row>
    <row r="421" spans="1:12" s="100" customFormat="1" ht="15.95" customHeight="1" outlineLevel="1">
      <c r="A421" s="138" t="s">
        <v>918</v>
      </c>
      <c r="B421" s="63">
        <v>88495</v>
      </c>
      <c r="C421" s="63" t="s">
        <v>18</v>
      </c>
      <c r="D421" s="65" t="s">
        <v>393</v>
      </c>
      <c r="E421" s="66" t="s">
        <v>116</v>
      </c>
      <c r="F421" s="64">
        <v>36.58</v>
      </c>
      <c r="G421" s="137"/>
      <c r="H421" s="117">
        <f t="shared" si="83"/>
        <v>0</v>
      </c>
      <c r="I421" s="117">
        <f t="shared" si="81"/>
        <v>0</v>
      </c>
      <c r="J421" s="246" t="e">
        <f t="shared" si="80"/>
        <v>#DIV/0!</v>
      </c>
    </row>
    <row r="422" spans="1:12" s="100" customFormat="1" outlineLevel="1">
      <c r="A422" s="138" t="s">
        <v>919</v>
      </c>
      <c r="B422" s="63">
        <v>88489</v>
      </c>
      <c r="C422" s="63" t="s">
        <v>18</v>
      </c>
      <c r="D422" s="65" t="s">
        <v>36</v>
      </c>
      <c r="E422" s="66" t="s">
        <v>116</v>
      </c>
      <c r="F422" s="64">
        <v>36.58</v>
      </c>
      <c r="G422" s="137"/>
      <c r="H422" s="117">
        <f t="shared" si="83"/>
        <v>0</v>
      </c>
      <c r="I422" s="117">
        <f t="shared" si="81"/>
        <v>0</v>
      </c>
      <c r="J422" s="246" t="e">
        <f t="shared" si="80"/>
        <v>#DIV/0!</v>
      </c>
    </row>
    <row r="423" spans="1:12" s="100" customFormat="1" ht="15.95" customHeight="1" outlineLevel="1">
      <c r="A423" s="138" t="s">
        <v>920</v>
      </c>
      <c r="B423" s="63" t="s">
        <v>256</v>
      </c>
      <c r="C423" s="63" t="s">
        <v>7</v>
      </c>
      <c r="D423" s="65" t="s">
        <v>596</v>
      </c>
      <c r="E423" s="66" t="s">
        <v>116</v>
      </c>
      <c r="F423" s="64">
        <v>27.2</v>
      </c>
      <c r="G423" s="137"/>
      <c r="H423" s="117">
        <f t="shared" si="83"/>
        <v>0</v>
      </c>
      <c r="I423" s="117">
        <f t="shared" si="81"/>
        <v>0</v>
      </c>
      <c r="J423" s="246" t="e">
        <f t="shared" si="80"/>
        <v>#DIV/0!</v>
      </c>
      <c r="K423" s="135" t="e">
        <f>I410+I415+I416+I417+#REF!+#REF!</f>
        <v>#REF!</v>
      </c>
      <c r="L423" s="135"/>
    </row>
    <row r="424" spans="1:12" s="100" customFormat="1" ht="15.95" customHeight="1" outlineLevel="1">
      <c r="A424" s="138" t="s">
        <v>921</v>
      </c>
      <c r="B424" s="63" t="s">
        <v>595</v>
      </c>
      <c r="C424" s="63" t="s">
        <v>7</v>
      </c>
      <c r="D424" s="65" t="s">
        <v>594</v>
      </c>
      <c r="E424" s="66" t="s">
        <v>116</v>
      </c>
      <c r="F424" s="64">
        <v>6.89</v>
      </c>
      <c r="G424" s="243"/>
      <c r="H424" s="117">
        <f t="shared" si="83"/>
        <v>0</v>
      </c>
      <c r="I424" s="117">
        <f t="shared" si="81"/>
        <v>0</v>
      </c>
      <c r="J424" s="246" t="e">
        <f t="shared" si="80"/>
        <v>#DIV/0!</v>
      </c>
      <c r="K424" s="135" t="e">
        <f>K423*10</f>
        <v>#REF!</v>
      </c>
      <c r="L424" s="135"/>
    </row>
    <row r="425" spans="1:12" s="100" customFormat="1" outlineLevel="1">
      <c r="A425" s="138" t="s">
        <v>922</v>
      </c>
      <c r="B425" s="63" t="s">
        <v>131</v>
      </c>
      <c r="C425" s="63" t="s">
        <v>9</v>
      </c>
      <c r="D425" s="65" t="s">
        <v>602</v>
      </c>
      <c r="E425" s="66" t="s">
        <v>115</v>
      </c>
      <c r="F425" s="64">
        <v>5.3</v>
      </c>
      <c r="G425" s="147" t="s">
        <v>10</v>
      </c>
      <c r="H425" s="117"/>
      <c r="I425" s="117">
        <f t="shared" si="81"/>
        <v>0</v>
      </c>
      <c r="J425" s="246" t="e">
        <f t="shared" si="80"/>
        <v>#DIV/0!</v>
      </c>
      <c r="K425" s="135"/>
      <c r="L425" s="135"/>
    </row>
    <row r="426" spans="1:12" s="100" customFormat="1" ht="27" outlineLevel="1">
      <c r="A426" s="138" t="s">
        <v>923</v>
      </c>
      <c r="B426" s="63">
        <v>102219</v>
      </c>
      <c r="C426" s="63" t="s">
        <v>18</v>
      </c>
      <c r="D426" s="65" t="s">
        <v>774</v>
      </c>
      <c r="E426" s="66" t="s">
        <v>116</v>
      </c>
      <c r="F426" s="64">
        <v>5.67</v>
      </c>
      <c r="G426" s="137"/>
      <c r="H426" s="117">
        <f t="shared" ref="H426" si="84">TRUNC((G426*(1+$I$12)),2)</f>
        <v>0</v>
      </c>
      <c r="I426" s="117">
        <f t="shared" si="81"/>
        <v>0</v>
      </c>
      <c r="J426" s="246" t="e">
        <f t="shared" si="80"/>
        <v>#DIV/0!</v>
      </c>
    </row>
    <row r="427" spans="1:12" s="100" customFormat="1" ht="15.75" customHeight="1" outlineLevel="1">
      <c r="A427" s="138" t="s">
        <v>924</v>
      </c>
      <c r="B427" s="63" t="s">
        <v>11</v>
      </c>
      <c r="C427" s="63" t="s">
        <v>9</v>
      </c>
      <c r="D427" s="65" t="s">
        <v>398</v>
      </c>
      <c r="E427" s="66" t="s">
        <v>116</v>
      </c>
      <c r="F427" s="64">
        <v>22.71</v>
      </c>
      <c r="G427" s="243" t="s">
        <v>10</v>
      </c>
      <c r="H427" s="121"/>
      <c r="I427" s="117">
        <f t="shared" si="81"/>
        <v>0</v>
      </c>
      <c r="J427" s="246" t="e">
        <f t="shared" si="80"/>
        <v>#DIV/0!</v>
      </c>
    </row>
    <row r="428" spans="1:12" s="100" customFormat="1" ht="15.75" customHeight="1" outlineLevel="1">
      <c r="A428" s="138" t="s">
        <v>925</v>
      </c>
      <c r="B428" s="63" t="s">
        <v>597</v>
      </c>
      <c r="C428" s="63" t="s">
        <v>9</v>
      </c>
      <c r="D428" s="65" t="s">
        <v>601</v>
      </c>
      <c r="E428" s="66" t="s">
        <v>218</v>
      </c>
      <c r="F428" s="64">
        <v>0.19</v>
      </c>
      <c r="G428" s="243" t="s">
        <v>10</v>
      </c>
      <c r="H428" s="121"/>
      <c r="I428" s="117">
        <f t="shared" si="81"/>
        <v>0</v>
      </c>
      <c r="J428" s="246" t="e">
        <f t="shared" si="80"/>
        <v>#DIV/0!</v>
      </c>
    </row>
    <row r="429" spans="1:12" s="100" customFormat="1" ht="27" outlineLevel="1">
      <c r="A429" s="138" t="s">
        <v>926</v>
      </c>
      <c r="B429" s="103">
        <v>102219</v>
      </c>
      <c r="C429" s="103" t="s">
        <v>18</v>
      </c>
      <c r="D429" s="85" t="s">
        <v>599</v>
      </c>
      <c r="E429" s="86" t="s">
        <v>116</v>
      </c>
      <c r="F429" s="80">
        <f>F428/0.03</f>
        <v>6.3333333333333339</v>
      </c>
      <c r="G429" s="139"/>
      <c r="H429" s="125">
        <f t="shared" ref="H429" si="85">TRUNC((G429*(1+$I$12)),2)</f>
        <v>0</v>
      </c>
      <c r="I429" s="117">
        <f t="shared" si="81"/>
        <v>0</v>
      </c>
      <c r="J429" s="246" t="e">
        <f t="shared" si="80"/>
        <v>#DIV/0!</v>
      </c>
    </row>
    <row r="430" spans="1:12" s="100" customFormat="1" ht="15.95" customHeight="1" outlineLevel="1">
      <c r="A430" s="138" t="s">
        <v>1913</v>
      </c>
      <c r="B430" s="63" t="s">
        <v>10</v>
      </c>
      <c r="C430" s="63" t="str">
        <f>[1]Composições!$I$107</f>
        <v>COMP07</v>
      </c>
      <c r="D430" s="65" t="str">
        <f>[1]Composições!$B$107</f>
        <v>INSTALAÇÃO DE VENTILADOR</v>
      </c>
      <c r="E430" s="66" t="s">
        <v>221</v>
      </c>
      <c r="F430" s="64">
        <v>2</v>
      </c>
      <c r="G430" s="137"/>
      <c r="H430" s="333">
        <f>TRUNC((G430*(1+$I$12)),2)</f>
        <v>0</v>
      </c>
      <c r="I430" s="117">
        <f>ROUND((F430*H430),2)</f>
        <v>0</v>
      </c>
      <c r="J430" s="246" t="e">
        <f t="shared" si="80"/>
        <v>#DIV/0!</v>
      </c>
    </row>
    <row r="431" spans="1:12" ht="15.95" customHeight="1">
      <c r="A431" s="378" t="s">
        <v>770</v>
      </c>
      <c r="B431" s="378"/>
      <c r="C431" s="378"/>
      <c r="D431" s="378"/>
      <c r="E431" s="378"/>
      <c r="F431" s="378"/>
      <c r="G431" s="378"/>
      <c r="H431" s="378"/>
      <c r="I431" s="179">
        <f>SUM(I402:I430)</f>
        <v>0</v>
      </c>
      <c r="J431" s="315" t="e">
        <f>SUM(J402:J430)</f>
        <v>#DIV/0!</v>
      </c>
      <c r="K431" s="318" t="e">
        <f>I431/$I$432</f>
        <v>#DIV/0!</v>
      </c>
    </row>
    <row r="432" spans="1:12" ht="15.95" customHeight="1">
      <c r="A432" s="387" t="s">
        <v>1301</v>
      </c>
      <c r="B432" s="387"/>
      <c r="C432" s="387"/>
      <c r="D432" s="387"/>
      <c r="E432" s="387"/>
      <c r="F432" s="387"/>
      <c r="G432" s="387"/>
      <c r="H432" s="387"/>
      <c r="I432" s="175">
        <f>I61+I84+I105+I142+I167+I190+I220+I250+I280+I310+I340+I370+I400+I431</f>
        <v>0</v>
      </c>
      <c r="J432" s="144" t="e">
        <f>J61+J84+J105+J142+J167+J190+J220+J250+J280+J310+J340+J370+J400+J431</f>
        <v>#DIV/0!</v>
      </c>
      <c r="K432" s="314"/>
    </row>
    <row r="433" spans="1:11" ht="16.5" customHeight="1">
      <c r="A433" s="62" t="s">
        <v>12</v>
      </c>
      <c r="B433" s="383"/>
      <c r="C433" s="383"/>
      <c r="D433" s="76" t="s">
        <v>141</v>
      </c>
      <c r="E433" s="379"/>
      <c r="F433" s="379"/>
      <c r="G433" s="379"/>
      <c r="H433" s="379"/>
      <c r="I433" s="379"/>
      <c r="J433" s="380"/>
    </row>
    <row r="434" spans="1:11" s="104" customFormat="1" ht="15.95" customHeight="1">
      <c r="A434" s="61" t="s">
        <v>775</v>
      </c>
      <c r="B434" s="394"/>
      <c r="C434" s="394"/>
      <c r="D434" s="143" t="s">
        <v>783</v>
      </c>
      <c r="E434" s="394"/>
      <c r="F434" s="394"/>
      <c r="G434" s="394"/>
      <c r="H434" s="394"/>
      <c r="I434" s="394"/>
      <c r="J434" s="394"/>
    </row>
    <row r="435" spans="1:11" s="157" customFormat="1" ht="15.95" customHeight="1" outlineLevel="1">
      <c r="A435" s="63" t="s">
        <v>1914</v>
      </c>
      <c r="B435" s="63" t="s">
        <v>133</v>
      </c>
      <c r="C435" s="63" t="s">
        <v>7</v>
      </c>
      <c r="D435" s="65" t="s">
        <v>134</v>
      </c>
      <c r="E435" s="66" t="s">
        <v>115</v>
      </c>
      <c r="F435" s="64">
        <v>77.95</v>
      </c>
      <c r="G435" s="241"/>
      <c r="H435" s="241">
        <f>TRUNC((G435*(1+$I$12)),2)</f>
        <v>0</v>
      </c>
      <c r="I435" s="241">
        <f t="shared" ref="I435:I444" si="86">ROUND((F435*H435),2)</f>
        <v>0</v>
      </c>
      <c r="J435" s="240" t="e">
        <f t="shared" ref="J435:J444" si="87">(I435/$I$1421)</f>
        <v>#DIV/0!</v>
      </c>
    </row>
    <row r="436" spans="1:11" s="157" customFormat="1" ht="15.95" customHeight="1" outlineLevel="1">
      <c r="A436" s="63" t="s">
        <v>1915</v>
      </c>
      <c r="B436" s="67" t="s">
        <v>776</v>
      </c>
      <c r="C436" s="63" t="s">
        <v>9</v>
      </c>
      <c r="D436" s="65" t="s">
        <v>777</v>
      </c>
      <c r="E436" s="67" t="s">
        <v>116</v>
      </c>
      <c r="F436" s="67">
        <v>868.36</v>
      </c>
      <c r="G436" s="188" t="s">
        <v>10</v>
      </c>
      <c r="H436" s="241"/>
      <c r="I436" s="241">
        <f t="shared" si="86"/>
        <v>0</v>
      </c>
      <c r="J436" s="240" t="e">
        <f t="shared" si="87"/>
        <v>#DIV/0!</v>
      </c>
    </row>
    <row r="437" spans="1:11" s="100" customFormat="1" ht="15" customHeight="1" outlineLevel="1">
      <c r="A437" s="63" t="s">
        <v>1916</v>
      </c>
      <c r="B437" s="67" t="s">
        <v>10</v>
      </c>
      <c r="C437" s="67" t="str">
        <f>[1]Composições!I124</f>
        <v>COMP09</v>
      </c>
      <c r="D437" s="277" t="str">
        <f>[1]Composições!B124</f>
        <v>CARREGAMENTO MANUAL DE TELHAS CERÂMICAS COM PALLETS EM CAMINHÃO</v>
      </c>
      <c r="E437" s="67" t="s">
        <v>116</v>
      </c>
      <c r="F437" s="99">
        <f>F436</f>
        <v>868.36</v>
      </c>
      <c r="G437" s="188"/>
      <c r="H437" s="333">
        <f t="shared" ref="H437:H441" si="88">TRUNC((G437*(1+$I$12)),2)</f>
        <v>0</v>
      </c>
      <c r="I437" s="333">
        <f t="shared" si="86"/>
        <v>0</v>
      </c>
      <c r="J437" s="332" t="e">
        <f t="shared" si="87"/>
        <v>#DIV/0!</v>
      </c>
    </row>
    <row r="438" spans="1:11" s="100" customFormat="1" ht="27" outlineLevel="1">
      <c r="A438" s="63" t="s">
        <v>1917</v>
      </c>
      <c r="B438" s="67">
        <v>100947</v>
      </c>
      <c r="C438" s="67" t="s">
        <v>18</v>
      </c>
      <c r="D438" s="97" t="s">
        <v>780</v>
      </c>
      <c r="E438" s="67" t="s">
        <v>781</v>
      </c>
      <c r="F438" s="99">
        <f>((F437*40.8)/1000)*4</f>
        <v>141.71635199999997</v>
      </c>
      <c r="G438" s="350"/>
      <c r="H438" s="333">
        <f t="shared" si="88"/>
        <v>0</v>
      </c>
      <c r="I438" s="333">
        <f t="shared" si="86"/>
        <v>0</v>
      </c>
      <c r="J438" s="332" t="e">
        <f t="shared" si="87"/>
        <v>#DIV/0!</v>
      </c>
    </row>
    <row r="439" spans="1:11" s="100" customFormat="1" ht="27" outlineLevel="1">
      <c r="A439" s="63" t="s">
        <v>1918</v>
      </c>
      <c r="B439" s="67" t="s">
        <v>10</v>
      </c>
      <c r="C439" s="67" t="str">
        <f>[1]Composições!I130</f>
        <v>COMP10</v>
      </c>
      <c r="D439" s="97" t="str">
        <f>[1]Composições!B130</f>
        <v>DESCARREGAMENTO MANUAL DE TELHAS CERÂMICAS EM PALLETS DE CAMINHÃO E ARRUMAÇÃO EM LOCAL INDICADO</v>
      </c>
      <c r="E439" s="67" t="s">
        <v>116</v>
      </c>
      <c r="F439" s="99">
        <f>F437</f>
        <v>868.36</v>
      </c>
      <c r="G439" s="278"/>
      <c r="H439" s="333">
        <f t="shared" si="88"/>
        <v>0</v>
      </c>
      <c r="I439" s="333">
        <f t="shared" si="86"/>
        <v>0</v>
      </c>
      <c r="J439" s="332" t="e">
        <f t="shared" si="87"/>
        <v>#DIV/0!</v>
      </c>
    </row>
    <row r="440" spans="1:11" s="100" customFormat="1" ht="27.75" customHeight="1" outlineLevel="1">
      <c r="A440" s="63" t="s">
        <v>1919</v>
      </c>
      <c r="B440" s="63">
        <v>97654</v>
      </c>
      <c r="C440" s="63" t="s">
        <v>18</v>
      </c>
      <c r="D440" s="65" t="s">
        <v>1800</v>
      </c>
      <c r="E440" s="66" t="s">
        <v>221</v>
      </c>
      <c r="F440" s="64">
        <v>23</v>
      </c>
      <c r="G440" s="333"/>
      <c r="H440" s="333">
        <f t="shared" si="88"/>
        <v>0</v>
      </c>
      <c r="I440" s="333">
        <f t="shared" si="86"/>
        <v>0</v>
      </c>
      <c r="J440" s="332" t="e">
        <f t="shared" si="87"/>
        <v>#DIV/0!</v>
      </c>
    </row>
    <row r="441" spans="1:11" s="100" customFormat="1" ht="15" customHeight="1" outlineLevel="1">
      <c r="A441" s="63" t="s">
        <v>1920</v>
      </c>
      <c r="B441" s="105">
        <v>97650</v>
      </c>
      <c r="C441" s="105" t="s">
        <v>18</v>
      </c>
      <c r="D441" s="236" t="s">
        <v>170</v>
      </c>
      <c r="E441" s="237" t="s">
        <v>116</v>
      </c>
      <c r="F441" s="238">
        <v>868.36</v>
      </c>
      <c r="G441" s="239"/>
      <c r="H441" s="333">
        <f t="shared" si="88"/>
        <v>0</v>
      </c>
      <c r="I441" s="333">
        <f t="shared" si="86"/>
        <v>0</v>
      </c>
      <c r="J441" s="332" t="e">
        <f t="shared" si="87"/>
        <v>#DIV/0!</v>
      </c>
    </row>
    <row r="442" spans="1:11" s="100" customFormat="1" ht="15" customHeight="1" outlineLevel="1">
      <c r="A442" s="63" t="s">
        <v>1921</v>
      </c>
      <c r="B442" s="63" t="s">
        <v>10</v>
      </c>
      <c r="C442" s="63" t="str">
        <f>[1]Composições!I156</f>
        <v>COMP13</v>
      </c>
      <c r="D442" s="65" t="str">
        <f>[1]Composições!B156</f>
        <v>CARREGAMENTO MANUAL DE ESTRUTURA DE MADEIRA PROVENIENTES DE TELHADOS, EM CAMINHÃO</v>
      </c>
      <c r="E442" s="66" t="s">
        <v>116</v>
      </c>
      <c r="F442" s="64">
        <v>868.36</v>
      </c>
      <c r="G442" s="333"/>
      <c r="H442" s="333">
        <f t="shared" ref="H442:H443" si="89">TRUNC((G442*(1+$I$12)),2)</f>
        <v>0</v>
      </c>
      <c r="I442" s="333">
        <f t="shared" si="86"/>
        <v>0</v>
      </c>
      <c r="J442" s="332" t="e">
        <f t="shared" si="87"/>
        <v>#DIV/0!</v>
      </c>
    </row>
    <row r="443" spans="1:11" s="100" customFormat="1" ht="27" outlineLevel="1">
      <c r="A443" s="63" t="s">
        <v>1922</v>
      </c>
      <c r="B443" s="67">
        <v>100947</v>
      </c>
      <c r="C443" s="67" t="s">
        <v>18</v>
      </c>
      <c r="D443" s="97" t="s">
        <v>780</v>
      </c>
      <c r="E443" s="67" t="s">
        <v>781</v>
      </c>
      <c r="F443" s="99">
        <f>((F442*40.8)/1000)*4</f>
        <v>141.71635199999997</v>
      </c>
      <c r="G443" s="333"/>
      <c r="H443" s="333">
        <f t="shared" si="89"/>
        <v>0</v>
      </c>
      <c r="I443" s="333">
        <f t="shared" si="86"/>
        <v>0</v>
      </c>
      <c r="J443" s="332" t="e">
        <f t="shared" si="87"/>
        <v>#DIV/0!</v>
      </c>
    </row>
    <row r="444" spans="1:11" s="100" customFormat="1" ht="27" outlineLevel="1">
      <c r="A444" s="63" t="s">
        <v>1923</v>
      </c>
      <c r="B444" s="63" t="s">
        <v>10</v>
      </c>
      <c r="C444" s="63" t="str">
        <f>[1]Composições!I162</f>
        <v>COMP14</v>
      </c>
      <c r="D444" s="65" t="str">
        <f>[1]Composições!B162</f>
        <v>DESCARREGAMENTO MANUAL DE CAMINHÃO, DE ESTRUTURA DE MADEIRA PROVENIENTES DE TELHADOS E ARRUMAÇÃO EM LOCAL INDICADO</v>
      </c>
      <c r="E444" s="66" t="s">
        <v>116</v>
      </c>
      <c r="F444" s="64">
        <f>F442</f>
        <v>868.36</v>
      </c>
      <c r="G444" s="333"/>
      <c r="H444" s="333">
        <f t="shared" ref="H444" si="90">TRUNC((G444*(1+$I$12)),2)</f>
        <v>0</v>
      </c>
      <c r="I444" s="333">
        <f t="shared" si="86"/>
        <v>0</v>
      </c>
      <c r="J444" s="332" t="e">
        <f t="shared" si="87"/>
        <v>#DIV/0!</v>
      </c>
    </row>
    <row r="445" spans="1:11" s="100" customFormat="1">
      <c r="A445" s="378" t="s">
        <v>785</v>
      </c>
      <c r="B445" s="378"/>
      <c r="C445" s="378"/>
      <c r="D445" s="378"/>
      <c r="E445" s="378"/>
      <c r="F445" s="378"/>
      <c r="G445" s="378"/>
      <c r="H445" s="378"/>
      <c r="I445" s="177">
        <f>SUM(I435:I444)</f>
        <v>0</v>
      </c>
      <c r="J445" s="144" t="e">
        <f>SUM(J435:J444)</f>
        <v>#DIV/0!</v>
      </c>
      <c r="K445" s="318" t="e">
        <f>I445/$I$587</f>
        <v>#DIV/0!</v>
      </c>
    </row>
    <row r="446" spans="1:11" ht="15.95" customHeight="1">
      <c r="A446" s="61" t="s">
        <v>786</v>
      </c>
      <c r="B446" s="394"/>
      <c r="C446" s="394"/>
      <c r="D446" s="143" t="s">
        <v>787</v>
      </c>
      <c r="E446" s="394"/>
      <c r="F446" s="394"/>
      <c r="G446" s="394"/>
      <c r="H446" s="394"/>
      <c r="I446" s="394"/>
      <c r="J446" s="394"/>
    </row>
    <row r="447" spans="1:11" ht="15.95" customHeight="1">
      <c r="A447" s="61" t="s">
        <v>782</v>
      </c>
      <c r="B447" s="148"/>
      <c r="C447" s="148"/>
      <c r="D447" s="143" t="s">
        <v>789</v>
      </c>
      <c r="E447" s="384"/>
      <c r="F447" s="385"/>
      <c r="G447" s="385"/>
      <c r="H447" s="385"/>
      <c r="I447" s="385"/>
      <c r="J447" s="386"/>
    </row>
    <row r="448" spans="1:11" s="157" customFormat="1" ht="15.95" customHeight="1" outlineLevel="1">
      <c r="A448" s="63" t="s">
        <v>865</v>
      </c>
      <c r="B448" s="5" t="s">
        <v>127</v>
      </c>
      <c r="C448" s="5" t="s">
        <v>7</v>
      </c>
      <c r="D448" s="129" t="s">
        <v>128</v>
      </c>
      <c r="E448" s="66" t="s">
        <v>218</v>
      </c>
      <c r="F448" s="64">
        <f>169.01*0.1</f>
        <v>16.901</v>
      </c>
      <c r="G448" s="241"/>
      <c r="H448" s="241">
        <f t="shared" ref="H448:H456" si="91">TRUNC((G448*(1+$I$12)),2)</f>
        <v>0</v>
      </c>
      <c r="I448" s="241">
        <f t="shared" ref="I448:I456" si="92">ROUND((F448*H448),2)</f>
        <v>0</v>
      </c>
      <c r="J448" s="240" t="e">
        <f t="shared" ref="J448:J456" si="93">(I448/$I$1421)</f>
        <v>#DIV/0!</v>
      </c>
    </row>
    <row r="449" spans="1:10" s="157" customFormat="1" ht="40.5" outlineLevel="1">
      <c r="A449" s="63" t="s">
        <v>866</v>
      </c>
      <c r="B449" s="63">
        <v>100983</v>
      </c>
      <c r="C449" s="63" t="s">
        <v>18</v>
      </c>
      <c r="D449" s="65" t="s">
        <v>1896</v>
      </c>
      <c r="E449" s="86" t="s">
        <v>218</v>
      </c>
      <c r="F449" s="80">
        <f>F448*1.3</f>
        <v>21.971299999999999</v>
      </c>
      <c r="G449" s="124"/>
      <c r="H449" s="350">
        <f t="shared" si="91"/>
        <v>0</v>
      </c>
      <c r="I449" s="117">
        <f t="shared" si="92"/>
        <v>0</v>
      </c>
      <c r="J449" s="231" t="e">
        <f t="shared" si="93"/>
        <v>#DIV/0!</v>
      </c>
    </row>
    <row r="450" spans="1:10" s="157" customFormat="1" ht="27" outlineLevel="1">
      <c r="A450" s="63" t="s">
        <v>867</v>
      </c>
      <c r="B450" s="63">
        <v>95875</v>
      </c>
      <c r="C450" s="63" t="s">
        <v>18</v>
      </c>
      <c r="D450" s="65" t="s">
        <v>1898</v>
      </c>
      <c r="E450" s="86" t="s">
        <v>1897</v>
      </c>
      <c r="F450" s="80">
        <f>F449*4</f>
        <v>87.885199999999998</v>
      </c>
      <c r="G450" s="124"/>
      <c r="H450" s="350">
        <f t="shared" si="91"/>
        <v>0</v>
      </c>
      <c r="I450" s="117">
        <f t="shared" si="92"/>
        <v>0</v>
      </c>
      <c r="J450" s="231" t="e">
        <f t="shared" si="93"/>
        <v>#DIV/0!</v>
      </c>
    </row>
    <row r="451" spans="1:10" s="157" customFormat="1" ht="27" outlineLevel="1">
      <c r="A451" s="63" t="s">
        <v>868</v>
      </c>
      <c r="B451" s="63">
        <v>97084</v>
      </c>
      <c r="C451" s="63" t="s">
        <v>18</v>
      </c>
      <c r="D451" s="65" t="s">
        <v>791</v>
      </c>
      <c r="E451" s="68" t="s">
        <v>116</v>
      </c>
      <c r="F451" s="64">
        <v>169.01</v>
      </c>
      <c r="G451" s="241"/>
      <c r="H451" s="241">
        <f t="shared" si="91"/>
        <v>0</v>
      </c>
      <c r="I451" s="241">
        <f t="shared" si="92"/>
        <v>0</v>
      </c>
      <c r="J451" s="240" t="e">
        <f t="shared" si="93"/>
        <v>#DIV/0!</v>
      </c>
    </row>
    <row r="452" spans="1:10" s="100" customFormat="1" ht="27" outlineLevel="1">
      <c r="A452" s="63" t="s">
        <v>869</v>
      </c>
      <c r="B452" s="128">
        <v>96622</v>
      </c>
      <c r="C452" s="128" t="s">
        <v>18</v>
      </c>
      <c r="D452" s="82" t="s">
        <v>1895</v>
      </c>
      <c r="E452" s="88" t="s">
        <v>218</v>
      </c>
      <c r="F452" s="75">
        <f>F451*0.05</f>
        <v>8.4504999999999999</v>
      </c>
      <c r="G452" s="145"/>
      <c r="H452" s="84">
        <f t="shared" si="91"/>
        <v>0</v>
      </c>
      <c r="I452" s="241">
        <f t="shared" si="92"/>
        <v>0</v>
      </c>
      <c r="J452" s="240" t="e">
        <f t="shared" si="93"/>
        <v>#DIV/0!</v>
      </c>
    </row>
    <row r="453" spans="1:10" s="100" customFormat="1" ht="27" outlineLevel="1">
      <c r="A453" s="63" t="s">
        <v>870</v>
      </c>
      <c r="B453" s="63">
        <v>94993</v>
      </c>
      <c r="C453" s="63" t="s">
        <v>18</v>
      </c>
      <c r="D453" s="65" t="s">
        <v>790</v>
      </c>
      <c r="E453" s="68" t="s">
        <v>116</v>
      </c>
      <c r="F453" s="64">
        <v>169.01</v>
      </c>
      <c r="G453" s="243"/>
      <c r="H453" s="241">
        <f t="shared" si="91"/>
        <v>0</v>
      </c>
      <c r="I453" s="241">
        <f t="shared" si="92"/>
        <v>0</v>
      </c>
      <c r="J453" s="240" t="e">
        <f t="shared" si="93"/>
        <v>#DIV/0!</v>
      </c>
    </row>
    <row r="454" spans="1:10" s="157" customFormat="1" ht="15.95" customHeight="1" outlineLevel="1">
      <c r="A454" s="63" t="s">
        <v>871</v>
      </c>
      <c r="B454" s="5" t="s">
        <v>129</v>
      </c>
      <c r="C454" s="5" t="s">
        <v>7</v>
      </c>
      <c r="D454" s="106" t="s">
        <v>130</v>
      </c>
      <c r="E454" s="68" t="s">
        <v>116</v>
      </c>
      <c r="F454" s="64">
        <v>169.01</v>
      </c>
      <c r="G454" s="243"/>
      <c r="H454" s="241">
        <f t="shared" si="91"/>
        <v>0</v>
      </c>
      <c r="I454" s="241">
        <f t="shared" si="92"/>
        <v>0</v>
      </c>
      <c r="J454" s="240" t="e">
        <f t="shared" si="93"/>
        <v>#DIV/0!</v>
      </c>
    </row>
    <row r="455" spans="1:10" s="157" customFormat="1" ht="27" outlineLevel="1">
      <c r="A455" s="63" t="s">
        <v>1924</v>
      </c>
      <c r="B455" s="5">
        <v>88476</v>
      </c>
      <c r="C455" s="5" t="s">
        <v>18</v>
      </c>
      <c r="D455" s="106" t="s">
        <v>1962</v>
      </c>
      <c r="E455" s="68" t="s">
        <v>116</v>
      </c>
      <c r="F455" s="64">
        <v>299.89999999999998</v>
      </c>
      <c r="G455" s="360"/>
      <c r="H455" s="359">
        <f t="shared" ref="H455" si="94">TRUNC((G455*(1+$I$12)),2)</f>
        <v>0</v>
      </c>
      <c r="I455" s="359">
        <f t="shared" ref="I455" si="95">ROUND((F455*H455),2)</f>
        <v>0</v>
      </c>
      <c r="J455" s="358" t="e">
        <f t="shared" si="93"/>
        <v>#DIV/0!</v>
      </c>
    </row>
    <row r="456" spans="1:10" s="157" customFormat="1" ht="27" outlineLevel="1">
      <c r="A456" s="63" t="s">
        <v>1961</v>
      </c>
      <c r="B456" s="5">
        <v>102491</v>
      </c>
      <c r="C456" s="5" t="s">
        <v>18</v>
      </c>
      <c r="D456" s="106" t="s">
        <v>788</v>
      </c>
      <c r="E456" s="68" t="s">
        <v>116</v>
      </c>
      <c r="F456" s="64">
        <f>F454+F455</f>
        <v>468.90999999999997</v>
      </c>
      <c r="G456" s="241"/>
      <c r="H456" s="241">
        <f t="shared" si="91"/>
        <v>0</v>
      </c>
      <c r="I456" s="241">
        <f t="shared" si="92"/>
        <v>0</v>
      </c>
      <c r="J456" s="240" t="e">
        <f t="shared" si="93"/>
        <v>#DIV/0!</v>
      </c>
    </row>
    <row r="457" spans="1:10" s="140" customFormat="1">
      <c r="A457" s="378" t="s">
        <v>792</v>
      </c>
      <c r="B457" s="378"/>
      <c r="C457" s="378"/>
      <c r="D457" s="378"/>
      <c r="E457" s="378"/>
      <c r="F457" s="378"/>
      <c r="G457" s="378"/>
      <c r="H457" s="378"/>
      <c r="I457" s="177">
        <f>SUM(I448:I456)</f>
        <v>0</v>
      </c>
      <c r="J457" s="144" t="e">
        <f>SUM(J448:J456)</f>
        <v>#DIV/0!</v>
      </c>
    </row>
    <row r="458" spans="1:10" ht="15.95" customHeight="1">
      <c r="A458" s="61" t="s">
        <v>793</v>
      </c>
      <c r="B458" s="148"/>
      <c r="C458" s="148"/>
      <c r="D458" s="143" t="s">
        <v>794</v>
      </c>
      <c r="E458" s="384"/>
      <c r="F458" s="385"/>
      <c r="G458" s="385"/>
      <c r="H458" s="385"/>
      <c r="I458" s="385"/>
      <c r="J458" s="386"/>
    </row>
    <row r="459" spans="1:10" s="157" customFormat="1" ht="15.95" customHeight="1" outlineLevel="1">
      <c r="A459" s="63" t="s">
        <v>872</v>
      </c>
      <c r="B459" s="5" t="s">
        <v>1802</v>
      </c>
      <c r="C459" s="101" t="s">
        <v>7</v>
      </c>
      <c r="D459" s="106" t="s">
        <v>1801</v>
      </c>
      <c r="E459" s="66" t="s">
        <v>115</v>
      </c>
      <c r="F459" s="64">
        <v>76.75</v>
      </c>
      <c r="G459" s="241"/>
      <c r="H459" s="241">
        <f>TRUNC((G459*(1+$I$12)),2)</f>
        <v>0</v>
      </c>
      <c r="I459" s="241">
        <f t="shared" ref="I459:I465" si="96">ROUND((F459*H459),2)</f>
        <v>0</v>
      </c>
      <c r="J459" s="240" t="e">
        <f t="shared" ref="J459:J465" si="97">(I459/$I$1421)</f>
        <v>#DIV/0!</v>
      </c>
    </row>
    <row r="460" spans="1:10" s="157" customFormat="1" ht="15.75" customHeight="1" outlineLevel="1">
      <c r="A460" s="63" t="s">
        <v>873</v>
      </c>
      <c r="B460" s="5" t="s">
        <v>168</v>
      </c>
      <c r="C460" s="5" t="s">
        <v>7</v>
      </c>
      <c r="D460" s="106" t="s">
        <v>169</v>
      </c>
      <c r="E460" s="66" t="s">
        <v>218</v>
      </c>
      <c r="F460" s="64">
        <f>(23.1*0.5)</f>
        <v>11.55</v>
      </c>
      <c r="G460" s="241"/>
      <c r="H460" s="241">
        <f>TRUNC((G460*(1+$I$12)),2)</f>
        <v>0</v>
      </c>
      <c r="I460" s="241">
        <f t="shared" si="96"/>
        <v>0</v>
      </c>
      <c r="J460" s="240" t="e">
        <f t="shared" si="97"/>
        <v>#DIV/0!</v>
      </c>
    </row>
    <row r="461" spans="1:10" s="157" customFormat="1" ht="15.95" customHeight="1" outlineLevel="1">
      <c r="A461" s="63" t="s">
        <v>874</v>
      </c>
      <c r="B461" s="5" t="s">
        <v>127</v>
      </c>
      <c r="C461" s="5" t="s">
        <v>7</v>
      </c>
      <c r="D461" s="129" t="s">
        <v>128</v>
      </c>
      <c r="E461" s="66" t="s">
        <v>218</v>
      </c>
      <c r="F461" s="64">
        <f>15.34*0.1</f>
        <v>1.534</v>
      </c>
      <c r="G461" s="241"/>
      <c r="H461" s="241">
        <f>TRUNC((G461*(1+$I$12)),2)</f>
        <v>0</v>
      </c>
      <c r="I461" s="241">
        <f t="shared" si="96"/>
        <v>0</v>
      </c>
      <c r="J461" s="240" t="e">
        <f t="shared" si="97"/>
        <v>#DIV/0!</v>
      </c>
    </row>
    <row r="462" spans="1:10" s="157" customFormat="1" ht="40.5" outlineLevel="1">
      <c r="A462" s="63" t="s">
        <v>875</v>
      </c>
      <c r="B462" s="63">
        <v>100983</v>
      </c>
      <c r="C462" s="63" t="s">
        <v>18</v>
      </c>
      <c r="D462" s="65" t="s">
        <v>1896</v>
      </c>
      <c r="E462" s="86" t="s">
        <v>218</v>
      </c>
      <c r="F462" s="80">
        <f>((F460+F461)+(15.34*0.03))*1.3</f>
        <v>17.607460000000003</v>
      </c>
      <c r="G462" s="124"/>
      <c r="H462" s="350">
        <f t="shared" ref="H462:H463" si="98">TRUNC((G462*(1+$I$12)),2)</f>
        <v>0</v>
      </c>
      <c r="I462" s="117">
        <f t="shared" si="96"/>
        <v>0</v>
      </c>
      <c r="J462" s="231" t="e">
        <f t="shared" si="97"/>
        <v>#DIV/0!</v>
      </c>
    </row>
    <row r="463" spans="1:10" s="157" customFormat="1" ht="27" outlineLevel="1">
      <c r="A463" s="63" t="s">
        <v>876</v>
      </c>
      <c r="B463" s="63">
        <v>95875</v>
      </c>
      <c r="C463" s="63" t="s">
        <v>18</v>
      </c>
      <c r="D463" s="65" t="s">
        <v>1898</v>
      </c>
      <c r="E463" s="86" t="s">
        <v>1897</v>
      </c>
      <c r="F463" s="80">
        <f>F462*4</f>
        <v>70.429840000000013</v>
      </c>
      <c r="G463" s="124"/>
      <c r="H463" s="350">
        <f t="shared" si="98"/>
        <v>0</v>
      </c>
      <c r="I463" s="117">
        <f t="shared" si="96"/>
        <v>0</v>
      </c>
      <c r="J463" s="231" t="e">
        <f t="shared" si="97"/>
        <v>#DIV/0!</v>
      </c>
    </row>
    <row r="464" spans="1:10" s="157" customFormat="1" ht="27" outlineLevel="1">
      <c r="A464" s="63" t="s">
        <v>877</v>
      </c>
      <c r="B464" s="5" t="s">
        <v>10</v>
      </c>
      <c r="C464" s="5" t="str">
        <f>[1]Composições!$I$168</f>
        <v>COMP15</v>
      </c>
      <c r="D464" s="106" t="str">
        <f>[1]Composições!$B$168</f>
        <v>EXECUÇÃO DE CANALETA DE ESCOAMENTO DE ÁGUAS PLUVIAIS, COM PAREDES EM BLOCOS DE CONCRETO GRAUTEADOS, INCLUSO MASSA ÚNICA E CONCRETAGEM DE FUNDO</v>
      </c>
      <c r="E464" s="66" t="s">
        <v>115</v>
      </c>
      <c r="F464" s="64">
        <v>76.75</v>
      </c>
      <c r="G464" s="241"/>
      <c r="H464" s="350">
        <f t="shared" ref="H464" si="99">TRUNC((G464*(1+$I$12)),2)</f>
        <v>0</v>
      </c>
      <c r="I464" s="117">
        <f t="shared" ref="I464" si="100">ROUND((F464*H464),2)</f>
        <v>0</v>
      </c>
      <c r="J464" s="231" t="e">
        <f t="shared" si="97"/>
        <v>#DIV/0!</v>
      </c>
    </row>
    <row r="465" spans="1:11" s="157" customFormat="1" ht="15.95" customHeight="1" outlineLevel="1">
      <c r="A465" s="63" t="s">
        <v>1925</v>
      </c>
      <c r="B465" s="101" t="s">
        <v>1858</v>
      </c>
      <c r="C465" s="101" t="s">
        <v>9</v>
      </c>
      <c r="D465" s="102" t="s">
        <v>1857</v>
      </c>
      <c r="E465" s="86" t="s">
        <v>115</v>
      </c>
      <c r="F465" s="80">
        <v>76.75</v>
      </c>
      <c r="G465" s="124" t="s">
        <v>10</v>
      </c>
      <c r="H465" s="124"/>
      <c r="I465" s="347">
        <f t="shared" si="96"/>
        <v>0</v>
      </c>
      <c r="J465" s="346" t="e">
        <f t="shared" si="97"/>
        <v>#DIV/0!</v>
      </c>
    </row>
    <row r="466" spans="1:11" s="100" customFormat="1">
      <c r="A466" s="378" t="s">
        <v>798</v>
      </c>
      <c r="B466" s="378"/>
      <c r="C466" s="378"/>
      <c r="D466" s="378"/>
      <c r="E466" s="378"/>
      <c r="F466" s="378"/>
      <c r="G466" s="378"/>
      <c r="H466" s="378"/>
      <c r="I466" s="177">
        <f>SUM(I459:I465)</f>
        <v>0</v>
      </c>
      <c r="J466" s="144" t="e">
        <f>SUM(J459:J465)</f>
        <v>#DIV/0!</v>
      </c>
    </row>
    <row r="467" spans="1:11" ht="15.95" customHeight="1">
      <c r="A467" s="61" t="s">
        <v>796</v>
      </c>
      <c r="B467" s="148"/>
      <c r="C467" s="148"/>
      <c r="D467" s="143" t="s">
        <v>884</v>
      </c>
      <c r="E467" s="384"/>
      <c r="F467" s="385"/>
      <c r="G467" s="385"/>
      <c r="H467" s="385"/>
      <c r="I467" s="385"/>
      <c r="J467" s="386"/>
    </row>
    <row r="468" spans="1:11" s="157" customFormat="1" ht="27" outlineLevel="1">
      <c r="A468" s="103" t="s">
        <v>1926</v>
      </c>
      <c r="B468" s="63">
        <v>97639</v>
      </c>
      <c r="C468" s="63" t="s">
        <v>18</v>
      </c>
      <c r="D468" s="65" t="s">
        <v>880</v>
      </c>
      <c r="E468" s="66" t="s">
        <v>116</v>
      </c>
      <c r="F468" s="64">
        <f>((0.15+0.15+0.15+0.15)*1)*51</f>
        <v>30.599999999999998</v>
      </c>
      <c r="G468" s="137"/>
      <c r="H468" s="241">
        <f>TRUNC((G468*(1+$I$12)),2)</f>
        <v>0</v>
      </c>
      <c r="I468" s="241">
        <f t="shared" ref="I468:I472" si="101">ROUND((F468*H468),2)</f>
        <v>0</v>
      </c>
      <c r="J468" s="81" t="e">
        <f>(I468/$I$1421)</f>
        <v>#DIV/0!</v>
      </c>
    </row>
    <row r="469" spans="1:11" s="157" customFormat="1" ht="40.5" outlineLevel="1">
      <c r="A469" s="103" t="s">
        <v>1927</v>
      </c>
      <c r="B469" s="63">
        <v>100983</v>
      </c>
      <c r="C469" s="63" t="s">
        <v>18</v>
      </c>
      <c r="D469" s="65" t="s">
        <v>1896</v>
      </c>
      <c r="E469" s="86" t="s">
        <v>218</v>
      </c>
      <c r="F469" s="80">
        <f>(0.15*0.15*1)*51*1.3</f>
        <v>1.4917499999999999</v>
      </c>
      <c r="G469" s="124"/>
      <c r="H469" s="350">
        <f t="shared" ref="H469:H470" si="102">TRUNC((G469*(1+$I$12)),2)</f>
        <v>0</v>
      </c>
      <c r="I469" s="117">
        <f t="shared" si="101"/>
        <v>0</v>
      </c>
      <c r="J469" s="231" t="e">
        <f>(I469/$I$1421)</f>
        <v>#DIV/0!</v>
      </c>
    </row>
    <row r="470" spans="1:11" s="157" customFormat="1" ht="27" outlineLevel="1">
      <c r="A470" s="103" t="s">
        <v>1928</v>
      </c>
      <c r="B470" s="63">
        <v>95875</v>
      </c>
      <c r="C470" s="63" t="s">
        <v>18</v>
      </c>
      <c r="D470" s="65" t="s">
        <v>1898</v>
      </c>
      <c r="E470" s="86" t="s">
        <v>1897</v>
      </c>
      <c r="F470" s="80">
        <f>F469*4</f>
        <v>5.9669999999999996</v>
      </c>
      <c r="G470" s="124"/>
      <c r="H470" s="350">
        <f t="shared" si="102"/>
        <v>0</v>
      </c>
      <c r="I470" s="117">
        <f t="shared" si="101"/>
        <v>0</v>
      </c>
      <c r="J470" s="231" t="e">
        <f>(I470/$I$1421)</f>
        <v>#DIV/0!</v>
      </c>
    </row>
    <row r="471" spans="1:11" s="157" customFormat="1" outlineLevel="1">
      <c r="A471" s="103" t="s">
        <v>1929</v>
      </c>
      <c r="B471" s="63">
        <v>88497</v>
      </c>
      <c r="C471" s="63" t="s">
        <v>18</v>
      </c>
      <c r="D471" s="65" t="s">
        <v>1550</v>
      </c>
      <c r="E471" s="66" t="s">
        <v>116</v>
      </c>
      <c r="F471" s="64">
        <f>((1.25*46.25*2)+(46.25*0.15))</f>
        <v>122.5625</v>
      </c>
      <c r="G471" s="137"/>
      <c r="H471" s="241">
        <f t="shared" ref="H471:H472" si="103">TRUNC((G471*(1+$I$12)),2)</f>
        <v>0</v>
      </c>
      <c r="I471" s="241">
        <f t="shared" si="101"/>
        <v>0</v>
      </c>
      <c r="J471" s="81" t="e">
        <f>(I471/$I$1421)</f>
        <v>#DIV/0!</v>
      </c>
    </row>
    <row r="472" spans="1:11" s="157" customFormat="1" ht="27" outlineLevel="1">
      <c r="A472" s="103" t="s">
        <v>1930</v>
      </c>
      <c r="B472" s="63">
        <v>88489</v>
      </c>
      <c r="C472" s="63" t="s">
        <v>18</v>
      </c>
      <c r="D472" s="65" t="s">
        <v>1551</v>
      </c>
      <c r="E472" s="66" t="s">
        <v>116</v>
      </c>
      <c r="F472" s="64">
        <f>F471</f>
        <v>122.5625</v>
      </c>
      <c r="G472" s="137"/>
      <c r="H472" s="241">
        <f t="shared" si="103"/>
        <v>0</v>
      </c>
      <c r="I472" s="241">
        <f t="shared" si="101"/>
        <v>0</v>
      </c>
      <c r="J472" s="81" t="e">
        <f>(I472/$I$1421)</f>
        <v>#DIV/0!</v>
      </c>
    </row>
    <row r="473" spans="1:11" s="146" customFormat="1">
      <c r="A473" s="378" t="s">
        <v>799</v>
      </c>
      <c r="B473" s="378"/>
      <c r="C473" s="378"/>
      <c r="D473" s="378"/>
      <c r="E473" s="378"/>
      <c r="F473" s="378"/>
      <c r="G473" s="378"/>
      <c r="H473" s="378"/>
      <c r="I473" s="177">
        <f>SUM(I468:I472)</f>
        <v>0</v>
      </c>
      <c r="J473" s="144" t="e">
        <f>SUM(J468:J472)</f>
        <v>#DIV/0!</v>
      </c>
    </row>
    <row r="474" spans="1:11" s="100" customFormat="1">
      <c r="A474" s="378" t="s">
        <v>1549</v>
      </c>
      <c r="B474" s="390"/>
      <c r="C474" s="390"/>
      <c r="D474" s="378"/>
      <c r="E474" s="378"/>
      <c r="F474" s="378"/>
      <c r="G474" s="378"/>
      <c r="H474" s="378"/>
      <c r="I474" s="177">
        <f>I457+I466+I473</f>
        <v>0</v>
      </c>
      <c r="J474" s="144" t="e">
        <f>J457+J466+J473</f>
        <v>#DIV/0!</v>
      </c>
      <c r="K474" s="318" t="e">
        <f>I474/$I$587</f>
        <v>#DIV/0!</v>
      </c>
    </row>
    <row r="475" spans="1:11" ht="15.95" customHeight="1">
      <c r="A475" s="197" t="s">
        <v>1539</v>
      </c>
      <c r="B475" s="234"/>
      <c r="C475" s="96"/>
      <c r="D475" s="235" t="s">
        <v>137</v>
      </c>
      <c r="E475" s="384"/>
      <c r="F475" s="385"/>
      <c r="G475" s="385"/>
      <c r="H475" s="385"/>
      <c r="I475" s="385"/>
      <c r="J475" s="386"/>
    </row>
    <row r="476" spans="1:11" s="157" customFormat="1" ht="27" outlineLevel="1">
      <c r="A476" s="103" t="s">
        <v>1540</v>
      </c>
      <c r="B476" s="105">
        <v>97627</v>
      </c>
      <c r="C476" s="105" t="s">
        <v>18</v>
      </c>
      <c r="D476" s="102" t="s">
        <v>797</v>
      </c>
      <c r="E476" s="86" t="s">
        <v>218</v>
      </c>
      <c r="F476" s="80">
        <f>((0.2*0.25*3.17)*48)</f>
        <v>7.6080000000000005</v>
      </c>
      <c r="G476" s="124"/>
      <c r="H476" s="124">
        <f>TRUNC((G476*(1+$I$12)),2)</f>
        <v>0</v>
      </c>
      <c r="I476" s="124">
        <f>ROUND((F476*H476),2)</f>
        <v>0</v>
      </c>
      <c r="J476" s="247" t="e">
        <f t="shared" ref="J476:J496" si="104">(I476/$I$1421)</f>
        <v>#DIV/0!</v>
      </c>
    </row>
    <row r="477" spans="1:11" s="157" customFormat="1" ht="15.95" customHeight="1" outlineLevel="1">
      <c r="A477" s="103" t="s">
        <v>1541</v>
      </c>
      <c r="B477" s="5" t="s">
        <v>127</v>
      </c>
      <c r="C477" s="169" t="s">
        <v>7</v>
      </c>
      <c r="D477" s="65" t="s">
        <v>855</v>
      </c>
      <c r="E477" s="66" t="s">
        <v>218</v>
      </c>
      <c r="F477" s="64">
        <f>24*(1.2*0.45*0.1)</f>
        <v>1.2960000000000003</v>
      </c>
      <c r="G477" s="241"/>
      <c r="H477" s="241">
        <f t="shared" ref="H477:H480" si="105">TRUNC((G477*(1+$I$12)),2)</f>
        <v>0</v>
      </c>
      <c r="I477" s="124">
        <f t="shared" ref="I477:I496" si="106">ROUND((F477*H477),2)</f>
        <v>0</v>
      </c>
      <c r="J477" s="247" t="e">
        <f t="shared" si="104"/>
        <v>#DIV/0!</v>
      </c>
    </row>
    <row r="478" spans="1:11" s="157" customFormat="1" ht="27" outlineLevel="1">
      <c r="A478" s="103" t="s">
        <v>1542</v>
      </c>
      <c r="B478" s="63">
        <v>94993</v>
      </c>
      <c r="C478" s="63" t="s">
        <v>18</v>
      </c>
      <c r="D478" s="65" t="s">
        <v>790</v>
      </c>
      <c r="E478" s="68" t="s">
        <v>116</v>
      </c>
      <c r="F478" s="64">
        <v>12.96</v>
      </c>
      <c r="G478" s="243"/>
      <c r="H478" s="241">
        <f t="shared" si="105"/>
        <v>0</v>
      </c>
      <c r="I478" s="124">
        <f t="shared" si="106"/>
        <v>0</v>
      </c>
      <c r="J478" s="247" t="e">
        <f t="shared" si="104"/>
        <v>#DIV/0!</v>
      </c>
    </row>
    <row r="479" spans="1:11" s="157" customFormat="1" ht="15.95" customHeight="1" outlineLevel="1">
      <c r="A479" s="103" t="s">
        <v>1543</v>
      </c>
      <c r="B479" s="5" t="s">
        <v>129</v>
      </c>
      <c r="C479" s="5" t="s">
        <v>7</v>
      </c>
      <c r="D479" s="106" t="s">
        <v>130</v>
      </c>
      <c r="E479" s="68" t="s">
        <v>116</v>
      </c>
      <c r="F479" s="64">
        <v>12.96</v>
      </c>
      <c r="G479" s="243"/>
      <c r="H479" s="241">
        <f t="shared" si="105"/>
        <v>0</v>
      </c>
      <c r="I479" s="124">
        <f t="shared" si="106"/>
        <v>0</v>
      </c>
      <c r="J479" s="247" t="e">
        <f t="shared" si="104"/>
        <v>#DIV/0!</v>
      </c>
    </row>
    <row r="480" spans="1:11" s="157" customFormat="1" ht="27" outlineLevel="1">
      <c r="A480" s="103" t="s">
        <v>1544</v>
      </c>
      <c r="B480" s="5">
        <v>102491</v>
      </c>
      <c r="C480" s="5" t="s">
        <v>18</v>
      </c>
      <c r="D480" s="106" t="s">
        <v>788</v>
      </c>
      <c r="E480" s="68" t="s">
        <v>116</v>
      </c>
      <c r="F480" s="64">
        <v>12.96</v>
      </c>
      <c r="G480" s="241"/>
      <c r="H480" s="241">
        <f t="shared" si="105"/>
        <v>0</v>
      </c>
      <c r="I480" s="124">
        <f t="shared" si="106"/>
        <v>0</v>
      </c>
      <c r="J480" s="247" t="e">
        <f t="shared" si="104"/>
        <v>#DIV/0!</v>
      </c>
    </row>
    <row r="481" spans="1:11" s="157" customFormat="1" ht="40.5" outlineLevel="1">
      <c r="A481" s="103" t="s">
        <v>1545</v>
      </c>
      <c r="B481" s="63">
        <v>100983</v>
      </c>
      <c r="C481" s="63" t="s">
        <v>18</v>
      </c>
      <c r="D481" s="65" t="s">
        <v>1896</v>
      </c>
      <c r="E481" s="86" t="s">
        <v>218</v>
      </c>
      <c r="F481" s="80">
        <v>11.58</v>
      </c>
      <c r="G481" s="124"/>
      <c r="H481" s="350">
        <f t="shared" ref="H481:H482" si="107">TRUNC((G481*(1+$I$12)),2)</f>
        <v>0</v>
      </c>
      <c r="I481" s="117">
        <f t="shared" si="106"/>
        <v>0</v>
      </c>
      <c r="J481" s="231" t="e">
        <f t="shared" si="104"/>
        <v>#DIV/0!</v>
      </c>
    </row>
    <row r="482" spans="1:11" s="157" customFormat="1" ht="27" outlineLevel="1">
      <c r="A482" s="103" t="s">
        <v>1546</v>
      </c>
      <c r="B482" s="63">
        <v>95875</v>
      </c>
      <c r="C482" s="63" t="s">
        <v>18</v>
      </c>
      <c r="D482" s="65" t="s">
        <v>1898</v>
      </c>
      <c r="E482" s="86" t="s">
        <v>1897</v>
      </c>
      <c r="F482" s="80">
        <f>F481*4</f>
        <v>46.32</v>
      </c>
      <c r="G482" s="124"/>
      <c r="H482" s="350">
        <f t="shared" si="107"/>
        <v>0</v>
      </c>
      <c r="I482" s="117">
        <f t="shared" si="106"/>
        <v>0</v>
      </c>
      <c r="J482" s="231" t="e">
        <f t="shared" si="104"/>
        <v>#DIV/0!</v>
      </c>
    </row>
    <row r="483" spans="1:11" s="157" customFormat="1" ht="27" outlineLevel="1">
      <c r="A483" s="103" t="s">
        <v>1547</v>
      </c>
      <c r="B483" s="63" t="s">
        <v>10</v>
      </c>
      <c r="C483" s="63" t="str">
        <f>[1]Composições!$I$136</f>
        <v>COMP11</v>
      </c>
      <c r="D483" s="65" t="str">
        <f>[1]Composições!B136</f>
        <v>ESTACA BROCA DE CONCRETO, DIÂMETRO DE 25CM, ESCAVAÇÃO MANUAL COM TRADO CONCHA, INTEIRAMENTE ARMADA, INCLUSO CONCRETAGEM FCK 25 MPA. AF_05/2020</v>
      </c>
      <c r="E483" s="66" t="s">
        <v>115</v>
      </c>
      <c r="F483" s="64">
        <f>48*6</f>
        <v>288</v>
      </c>
      <c r="G483" s="337"/>
      <c r="H483" s="337">
        <f t="shared" ref="H483:H496" si="108">TRUNC((G483*(1+$I$12)),2)</f>
        <v>0</v>
      </c>
      <c r="I483" s="124">
        <f t="shared" si="106"/>
        <v>0</v>
      </c>
      <c r="J483" s="247" t="e">
        <f t="shared" si="104"/>
        <v>#DIV/0!</v>
      </c>
    </row>
    <row r="484" spans="1:11" s="157" customFormat="1" ht="27" outlineLevel="1">
      <c r="A484" s="103" t="s">
        <v>1552</v>
      </c>
      <c r="B484" s="63">
        <v>96522</v>
      </c>
      <c r="C484" s="63" t="s">
        <v>18</v>
      </c>
      <c r="D484" s="65" t="s">
        <v>856</v>
      </c>
      <c r="E484" s="66" t="s">
        <v>218</v>
      </c>
      <c r="F484" s="64">
        <v>10.69</v>
      </c>
      <c r="G484" s="337"/>
      <c r="H484" s="337">
        <f t="shared" si="108"/>
        <v>0</v>
      </c>
      <c r="I484" s="124">
        <f t="shared" si="106"/>
        <v>0</v>
      </c>
      <c r="J484" s="247" t="e">
        <f t="shared" si="104"/>
        <v>#DIV/0!</v>
      </c>
    </row>
    <row r="485" spans="1:11" s="157" customFormat="1" ht="27" outlineLevel="1">
      <c r="A485" s="103" t="s">
        <v>1553</v>
      </c>
      <c r="B485" s="63">
        <v>96545</v>
      </c>
      <c r="C485" s="63" t="s">
        <v>18</v>
      </c>
      <c r="D485" s="65" t="s">
        <v>267</v>
      </c>
      <c r="E485" s="66" t="s">
        <v>117</v>
      </c>
      <c r="F485" s="64">
        <v>766.05</v>
      </c>
      <c r="G485" s="337"/>
      <c r="H485" s="337">
        <f t="shared" si="108"/>
        <v>0</v>
      </c>
      <c r="I485" s="124">
        <f t="shared" si="106"/>
        <v>0</v>
      </c>
      <c r="J485" s="247" t="e">
        <f t="shared" si="104"/>
        <v>#DIV/0!</v>
      </c>
    </row>
    <row r="486" spans="1:11" s="157" customFormat="1" ht="27" outlineLevel="1">
      <c r="A486" s="103" t="s">
        <v>1554</v>
      </c>
      <c r="B486" s="63" t="s">
        <v>10</v>
      </c>
      <c r="C486" s="63" t="str">
        <f>[1]Composições!$I$146</f>
        <v>COMP12</v>
      </c>
      <c r="D486" s="65" t="str">
        <f>[1]Composições!$B$146</f>
        <v>CONCRETAGEM DE BLOCOS DE COROAMENTO E VIGAS BALDRAME, FCK 25 MPA, INCLUSO LANÇAMENTO, ADENSAMENTO E ACABAMENTO. AF_06/2017</v>
      </c>
      <c r="E486" s="66" t="s">
        <v>218</v>
      </c>
      <c r="F486" s="64">
        <f>F484</f>
        <v>10.69</v>
      </c>
      <c r="G486" s="337"/>
      <c r="H486" s="337">
        <f t="shared" si="108"/>
        <v>0</v>
      </c>
      <c r="I486" s="124">
        <f t="shared" si="106"/>
        <v>0</v>
      </c>
      <c r="J486" s="247" t="e">
        <f t="shared" si="104"/>
        <v>#DIV/0!</v>
      </c>
    </row>
    <row r="487" spans="1:11" s="157" customFormat="1" ht="27" outlineLevel="1">
      <c r="A487" s="103" t="s">
        <v>1555</v>
      </c>
      <c r="B487" s="63">
        <v>92759</v>
      </c>
      <c r="C487" s="63" t="s">
        <v>18</v>
      </c>
      <c r="D487" s="65" t="s">
        <v>1316</v>
      </c>
      <c r="E487" s="66" t="s">
        <v>117</v>
      </c>
      <c r="F487" s="64">
        <v>56.65</v>
      </c>
      <c r="G487" s="241"/>
      <c r="H487" s="241">
        <f t="shared" ref="H487:H488" si="109">TRUNC((G487*(1+$I$12)),2)</f>
        <v>0</v>
      </c>
      <c r="I487" s="124">
        <f t="shared" si="106"/>
        <v>0</v>
      </c>
      <c r="J487" s="247" t="e">
        <f t="shared" si="104"/>
        <v>#DIV/0!</v>
      </c>
      <c r="K487" s="154"/>
    </row>
    <row r="488" spans="1:11" s="157" customFormat="1" ht="27" outlineLevel="1">
      <c r="A488" s="103" t="s">
        <v>1556</v>
      </c>
      <c r="B488" s="63">
        <v>92762</v>
      </c>
      <c r="C488" s="63" t="s">
        <v>18</v>
      </c>
      <c r="D488" s="65" t="s">
        <v>1317</v>
      </c>
      <c r="E488" s="66" t="s">
        <v>117</v>
      </c>
      <c r="F488" s="64">
        <v>241.65</v>
      </c>
      <c r="G488" s="241"/>
      <c r="H488" s="241">
        <f t="shared" si="109"/>
        <v>0</v>
      </c>
      <c r="I488" s="124">
        <f t="shared" si="106"/>
        <v>0</v>
      </c>
      <c r="J488" s="247" t="e">
        <f t="shared" si="104"/>
        <v>#DIV/0!</v>
      </c>
    </row>
    <row r="489" spans="1:11" s="157" customFormat="1" ht="27" outlineLevel="1">
      <c r="A489" s="103" t="s">
        <v>1557</v>
      </c>
      <c r="B489" s="63">
        <v>92759</v>
      </c>
      <c r="C489" s="63" t="s">
        <v>18</v>
      </c>
      <c r="D489" s="65" t="s">
        <v>860</v>
      </c>
      <c r="E489" s="66" t="s">
        <v>117</v>
      </c>
      <c r="F489" s="64">
        <v>191.34</v>
      </c>
      <c r="G489" s="241"/>
      <c r="H489" s="241">
        <f t="shared" si="108"/>
        <v>0</v>
      </c>
      <c r="I489" s="124">
        <f t="shared" si="106"/>
        <v>0</v>
      </c>
      <c r="J489" s="247" t="e">
        <f t="shared" si="104"/>
        <v>#DIV/0!</v>
      </c>
      <c r="K489" s="154"/>
    </row>
    <row r="490" spans="1:11" s="157" customFormat="1" ht="27" outlineLevel="1">
      <c r="A490" s="103" t="s">
        <v>1558</v>
      </c>
      <c r="B490" s="63">
        <v>92762</v>
      </c>
      <c r="C490" s="63" t="s">
        <v>18</v>
      </c>
      <c r="D490" s="65" t="s">
        <v>857</v>
      </c>
      <c r="E490" s="66" t="s">
        <v>117</v>
      </c>
      <c r="F490" s="64">
        <v>825.04</v>
      </c>
      <c r="G490" s="241"/>
      <c r="H490" s="241">
        <f t="shared" si="108"/>
        <v>0</v>
      </c>
      <c r="I490" s="124">
        <f t="shared" si="106"/>
        <v>0</v>
      </c>
      <c r="J490" s="247" t="e">
        <f t="shared" si="104"/>
        <v>#DIV/0!</v>
      </c>
    </row>
    <row r="491" spans="1:11" s="157" customFormat="1" ht="27" outlineLevel="1">
      <c r="A491" s="103" t="s">
        <v>1559</v>
      </c>
      <c r="B491" s="63">
        <v>92419</v>
      </c>
      <c r="C491" s="63" t="s">
        <v>18</v>
      </c>
      <c r="D491" s="65" t="s">
        <v>858</v>
      </c>
      <c r="E491" s="66" t="s">
        <v>116</v>
      </c>
      <c r="F491" s="64">
        <v>32.33</v>
      </c>
      <c r="G491" s="241"/>
      <c r="H491" s="241">
        <f t="shared" si="108"/>
        <v>0</v>
      </c>
      <c r="I491" s="124">
        <f t="shared" si="106"/>
        <v>0</v>
      </c>
      <c r="J491" s="247" t="e">
        <f t="shared" si="104"/>
        <v>#DIV/0!</v>
      </c>
    </row>
    <row r="492" spans="1:11" s="157" customFormat="1" ht="27" outlineLevel="1">
      <c r="A492" s="103" t="s">
        <v>1560</v>
      </c>
      <c r="B492" s="63">
        <v>103669</v>
      </c>
      <c r="C492" s="63" t="s">
        <v>18</v>
      </c>
      <c r="D492" s="65" t="s">
        <v>859</v>
      </c>
      <c r="E492" s="66" t="s">
        <v>218</v>
      </c>
      <c r="F492" s="64">
        <f>(3.17*0.15*0.35)*48</f>
        <v>7.9883999999999995</v>
      </c>
      <c r="G492" s="241"/>
      <c r="H492" s="241">
        <f t="shared" si="108"/>
        <v>0</v>
      </c>
      <c r="I492" s="124">
        <f t="shared" si="106"/>
        <v>0</v>
      </c>
      <c r="J492" s="247" t="e">
        <f t="shared" si="104"/>
        <v>#DIV/0!</v>
      </c>
    </row>
    <row r="493" spans="1:11" s="157" customFormat="1" ht="27" outlineLevel="1">
      <c r="A493" s="103" t="s">
        <v>1561</v>
      </c>
      <c r="B493" s="63">
        <v>87879</v>
      </c>
      <c r="C493" s="63" t="s">
        <v>18</v>
      </c>
      <c r="D493" s="65" t="s">
        <v>275</v>
      </c>
      <c r="E493" s="66" t="s">
        <v>116</v>
      </c>
      <c r="F493" s="64">
        <v>129.34</v>
      </c>
      <c r="G493" s="241"/>
      <c r="H493" s="241">
        <f t="shared" si="108"/>
        <v>0</v>
      </c>
      <c r="I493" s="124">
        <f t="shared" si="106"/>
        <v>0</v>
      </c>
      <c r="J493" s="247" t="e">
        <f t="shared" si="104"/>
        <v>#DIV/0!</v>
      </c>
    </row>
    <row r="494" spans="1:11" s="157" customFormat="1" ht="40.5" outlineLevel="1">
      <c r="A494" s="103" t="s">
        <v>1562</v>
      </c>
      <c r="B494" s="63">
        <v>90406</v>
      </c>
      <c r="C494" s="63" t="s">
        <v>18</v>
      </c>
      <c r="D494" s="65" t="s">
        <v>276</v>
      </c>
      <c r="E494" s="66" t="s">
        <v>116</v>
      </c>
      <c r="F494" s="64">
        <f>F493</f>
        <v>129.34</v>
      </c>
      <c r="G494" s="241"/>
      <c r="H494" s="241">
        <f t="shared" si="108"/>
        <v>0</v>
      </c>
      <c r="I494" s="124">
        <f t="shared" si="106"/>
        <v>0</v>
      </c>
      <c r="J494" s="247" t="e">
        <f t="shared" si="104"/>
        <v>#DIV/0!</v>
      </c>
    </row>
    <row r="495" spans="1:11" s="157" customFormat="1" outlineLevel="1">
      <c r="A495" s="103" t="s">
        <v>1563</v>
      </c>
      <c r="B495" s="63">
        <v>88495</v>
      </c>
      <c r="C495" s="63" t="s">
        <v>18</v>
      </c>
      <c r="D495" s="65" t="s">
        <v>393</v>
      </c>
      <c r="E495" s="66" t="s">
        <v>116</v>
      </c>
      <c r="F495" s="64">
        <f>F494</f>
        <v>129.34</v>
      </c>
      <c r="G495" s="137"/>
      <c r="H495" s="241">
        <f t="shared" si="108"/>
        <v>0</v>
      </c>
      <c r="I495" s="124">
        <f t="shared" si="106"/>
        <v>0</v>
      </c>
      <c r="J495" s="247" t="e">
        <f t="shared" si="104"/>
        <v>#DIV/0!</v>
      </c>
    </row>
    <row r="496" spans="1:11" s="157" customFormat="1" outlineLevel="1">
      <c r="A496" s="103" t="s">
        <v>1564</v>
      </c>
      <c r="B496" s="63">
        <v>88489</v>
      </c>
      <c r="C496" s="63" t="s">
        <v>18</v>
      </c>
      <c r="D496" s="65" t="s">
        <v>36</v>
      </c>
      <c r="E496" s="66" t="s">
        <v>116</v>
      </c>
      <c r="F496" s="64">
        <f>F495</f>
        <v>129.34</v>
      </c>
      <c r="G496" s="137"/>
      <c r="H496" s="241">
        <f t="shared" si="108"/>
        <v>0</v>
      </c>
      <c r="I496" s="124">
        <f t="shared" si="106"/>
        <v>0</v>
      </c>
      <c r="J496" s="247" t="e">
        <f t="shared" si="104"/>
        <v>#DIV/0!</v>
      </c>
    </row>
    <row r="497" spans="1:11" s="146" customFormat="1">
      <c r="A497" s="378" t="s">
        <v>1548</v>
      </c>
      <c r="B497" s="378"/>
      <c r="C497" s="378"/>
      <c r="D497" s="378"/>
      <c r="E497" s="378"/>
      <c r="F497" s="378"/>
      <c r="G497" s="378"/>
      <c r="H497" s="378"/>
      <c r="I497" s="177">
        <f>SUM(I476:I496)</f>
        <v>0</v>
      </c>
      <c r="J497" s="144" t="e">
        <f>SUM(J476:J496)</f>
        <v>#DIV/0!</v>
      </c>
      <c r="K497" s="318" t="e">
        <f>I497/$I$587</f>
        <v>#DIV/0!</v>
      </c>
    </row>
    <row r="498" spans="1:11" ht="15.95" customHeight="1">
      <c r="A498" s="61" t="s">
        <v>1565</v>
      </c>
      <c r="B498" s="148"/>
      <c r="C498" s="148"/>
      <c r="D498" s="143" t="s">
        <v>138</v>
      </c>
      <c r="E498" s="384"/>
      <c r="F498" s="385"/>
      <c r="G498" s="385"/>
      <c r="H498" s="385"/>
      <c r="I498" s="385"/>
      <c r="J498" s="386"/>
    </row>
    <row r="499" spans="1:11" s="157" customFormat="1" ht="27" outlineLevel="1">
      <c r="A499" s="103" t="s">
        <v>1566</v>
      </c>
      <c r="B499" s="63">
        <v>92759</v>
      </c>
      <c r="C499" s="63" t="s">
        <v>18</v>
      </c>
      <c r="D499" s="65" t="s">
        <v>860</v>
      </c>
      <c r="E499" s="66" t="s">
        <v>117</v>
      </c>
      <c r="F499" s="64">
        <v>125.73</v>
      </c>
      <c r="G499" s="241"/>
      <c r="H499" s="241">
        <f t="shared" ref="H499:H506" si="110">TRUNC((G499*(1+$I$12)),2)</f>
        <v>0</v>
      </c>
      <c r="I499" s="241">
        <f t="shared" ref="I499:I506" si="111">ROUND((F499*H499),2)</f>
        <v>0</v>
      </c>
      <c r="J499" s="81" t="e">
        <f t="shared" ref="J499:J506" si="112">(I499/$I$1421)</f>
        <v>#DIV/0!</v>
      </c>
      <c r="K499" s="154"/>
    </row>
    <row r="500" spans="1:11" s="157" customFormat="1" ht="27" outlineLevel="1">
      <c r="A500" s="103" t="s">
        <v>1567</v>
      </c>
      <c r="B500" s="63">
        <v>92762</v>
      </c>
      <c r="C500" s="63" t="s">
        <v>18</v>
      </c>
      <c r="D500" s="65" t="s">
        <v>857</v>
      </c>
      <c r="E500" s="66" t="s">
        <v>117</v>
      </c>
      <c r="F500" s="64">
        <v>470.68</v>
      </c>
      <c r="G500" s="241"/>
      <c r="H500" s="241">
        <f t="shared" si="110"/>
        <v>0</v>
      </c>
      <c r="I500" s="241">
        <f t="shared" si="111"/>
        <v>0</v>
      </c>
      <c r="J500" s="81" t="e">
        <f t="shared" si="112"/>
        <v>#DIV/0!</v>
      </c>
    </row>
    <row r="501" spans="1:11" s="157" customFormat="1" ht="27" outlineLevel="1">
      <c r="A501" s="103" t="s">
        <v>1568</v>
      </c>
      <c r="B501" s="63">
        <v>92448</v>
      </c>
      <c r="C501" s="63" t="s">
        <v>18</v>
      </c>
      <c r="D501" s="65" t="s">
        <v>864</v>
      </c>
      <c r="E501" s="66" t="s">
        <v>116</v>
      </c>
      <c r="F501" s="64">
        <f>(((75.92*0.3)*2)+(75.92*0.15))</f>
        <v>56.94</v>
      </c>
      <c r="G501" s="241"/>
      <c r="H501" s="241">
        <f t="shared" si="110"/>
        <v>0</v>
      </c>
      <c r="I501" s="241">
        <f t="shared" si="111"/>
        <v>0</v>
      </c>
      <c r="J501" s="81" t="e">
        <f t="shared" si="112"/>
        <v>#DIV/0!</v>
      </c>
    </row>
    <row r="502" spans="1:11" s="157" customFormat="1" ht="27" outlineLevel="1">
      <c r="A502" s="103" t="s">
        <v>1569</v>
      </c>
      <c r="B502" s="63">
        <v>103674</v>
      </c>
      <c r="C502" s="63" t="s">
        <v>18</v>
      </c>
      <c r="D502" s="65" t="s">
        <v>863</v>
      </c>
      <c r="E502" s="66" t="s">
        <v>218</v>
      </c>
      <c r="F502" s="64">
        <f>6.83</f>
        <v>6.83</v>
      </c>
      <c r="G502" s="241"/>
      <c r="H502" s="241">
        <f t="shared" si="110"/>
        <v>0</v>
      </c>
      <c r="I502" s="241">
        <f t="shared" si="111"/>
        <v>0</v>
      </c>
      <c r="J502" s="81" t="e">
        <f t="shared" si="112"/>
        <v>#DIV/0!</v>
      </c>
    </row>
    <row r="503" spans="1:11" s="157" customFormat="1" ht="27" outlineLevel="1">
      <c r="A503" s="103" t="s">
        <v>1570</v>
      </c>
      <c r="B503" s="63">
        <v>87879</v>
      </c>
      <c r="C503" s="63" t="s">
        <v>18</v>
      </c>
      <c r="D503" s="65" t="s">
        <v>275</v>
      </c>
      <c r="E503" s="66" t="s">
        <v>116</v>
      </c>
      <c r="F503" s="64">
        <f>(((75.92*0.3))+(75.92*0.15))*2</f>
        <v>68.328000000000003</v>
      </c>
      <c r="G503" s="241"/>
      <c r="H503" s="241">
        <f t="shared" si="110"/>
        <v>0</v>
      </c>
      <c r="I503" s="241">
        <f t="shared" si="111"/>
        <v>0</v>
      </c>
      <c r="J503" s="81" t="e">
        <f t="shared" si="112"/>
        <v>#DIV/0!</v>
      </c>
    </row>
    <row r="504" spans="1:11" s="157" customFormat="1" ht="40.5" outlineLevel="1">
      <c r="A504" s="103" t="s">
        <v>1571</v>
      </c>
      <c r="B504" s="63">
        <v>90406</v>
      </c>
      <c r="C504" s="63" t="s">
        <v>18</v>
      </c>
      <c r="D504" s="65" t="s">
        <v>276</v>
      </c>
      <c r="E504" s="66" t="s">
        <v>116</v>
      </c>
      <c r="F504" s="64">
        <f>F503</f>
        <v>68.328000000000003</v>
      </c>
      <c r="G504" s="241"/>
      <c r="H504" s="241">
        <f t="shared" si="110"/>
        <v>0</v>
      </c>
      <c r="I504" s="241">
        <f t="shared" si="111"/>
        <v>0</v>
      </c>
      <c r="J504" s="81" t="e">
        <f t="shared" si="112"/>
        <v>#DIV/0!</v>
      </c>
    </row>
    <row r="505" spans="1:11" s="157" customFormat="1" outlineLevel="1">
      <c r="A505" s="103" t="s">
        <v>1572</v>
      </c>
      <c r="B505" s="63">
        <v>88495</v>
      </c>
      <c r="C505" s="63" t="s">
        <v>18</v>
      </c>
      <c r="D505" s="65" t="s">
        <v>393</v>
      </c>
      <c r="E505" s="66" t="s">
        <v>116</v>
      </c>
      <c r="F505" s="64">
        <f>F504</f>
        <v>68.328000000000003</v>
      </c>
      <c r="G505" s="137"/>
      <c r="H505" s="241">
        <f t="shared" si="110"/>
        <v>0</v>
      </c>
      <c r="I505" s="241">
        <f t="shared" si="111"/>
        <v>0</v>
      </c>
      <c r="J505" s="81" t="e">
        <f t="shared" si="112"/>
        <v>#DIV/0!</v>
      </c>
    </row>
    <row r="506" spans="1:11" s="157" customFormat="1" outlineLevel="1">
      <c r="A506" s="103" t="s">
        <v>1573</v>
      </c>
      <c r="B506" s="63">
        <v>88489</v>
      </c>
      <c r="C506" s="63" t="s">
        <v>18</v>
      </c>
      <c r="D506" s="65" t="s">
        <v>36</v>
      </c>
      <c r="E506" s="66" t="s">
        <v>116</v>
      </c>
      <c r="F506" s="64">
        <f>F505</f>
        <v>68.328000000000003</v>
      </c>
      <c r="G506" s="137"/>
      <c r="H506" s="241">
        <f t="shared" si="110"/>
        <v>0</v>
      </c>
      <c r="I506" s="241">
        <f t="shared" si="111"/>
        <v>0</v>
      </c>
      <c r="J506" s="81" t="e">
        <f t="shared" si="112"/>
        <v>#DIV/0!</v>
      </c>
    </row>
    <row r="507" spans="1:11" s="146" customFormat="1">
      <c r="A507" s="378" t="s">
        <v>1574</v>
      </c>
      <c r="B507" s="378"/>
      <c r="C507" s="378"/>
      <c r="D507" s="378"/>
      <c r="E507" s="378"/>
      <c r="F507" s="378"/>
      <c r="G507" s="378"/>
      <c r="H507" s="378"/>
      <c r="I507" s="177">
        <f>SUM(I499:I506)</f>
        <v>0</v>
      </c>
      <c r="J507" s="144" t="e">
        <f>SUM(J499:J506)</f>
        <v>#DIV/0!</v>
      </c>
      <c r="K507" s="318" t="e">
        <f>I507/$I$587</f>
        <v>#DIV/0!</v>
      </c>
    </row>
    <row r="508" spans="1:11" ht="15.95" customHeight="1">
      <c r="A508" s="61" t="s">
        <v>1576</v>
      </c>
      <c r="B508" s="148"/>
      <c r="C508" s="148"/>
      <c r="D508" s="143" t="s">
        <v>878</v>
      </c>
      <c r="E508" s="384"/>
      <c r="F508" s="385"/>
      <c r="G508" s="385"/>
      <c r="H508" s="385"/>
      <c r="I508" s="385"/>
      <c r="J508" s="386"/>
    </row>
    <row r="509" spans="1:11" s="157" customFormat="1" outlineLevel="1">
      <c r="A509" s="103" t="s">
        <v>1809</v>
      </c>
      <c r="B509" s="63">
        <v>88497</v>
      </c>
      <c r="C509" s="63" t="s">
        <v>18</v>
      </c>
      <c r="D509" s="65" t="s">
        <v>879</v>
      </c>
      <c r="E509" s="66" t="s">
        <v>116</v>
      </c>
      <c r="F509" s="64">
        <v>410.8</v>
      </c>
      <c r="G509" s="137"/>
      <c r="H509" s="241">
        <f t="shared" ref="H509:H510" si="113">TRUNC((G509*(1+$I$12)),2)</f>
        <v>0</v>
      </c>
      <c r="I509" s="241">
        <f t="shared" ref="I509:I510" si="114">ROUND((F509*H509),2)</f>
        <v>0</v>
      </c>
      <c r="J509" s="81" t="e">
        <f>(I509/$I$1421)</f>
        <v>#DIV/0!</v>
      </c>
    </row>
    <row r="510" spans="1:11" s="157" customFormat="1" outlineLevel="1">
      <c r="A510" s="103" t="s">
        <v>1810</v>
      </c>
      <c r="B510" s="63">
        <v>88489</v>
      </c>
      <c r="C510" s="63" t="s">
        <v>18</v>
      </c>
      <c r="D510" s="65" t="s">
        <v>36</v>
      </c>
      <c r="E510" s="66" t="s">
        <v>116</v>
      </c>
      <c r="F510" s="64">
        <f>F509</f>
        <v>410.8</v>
      </c>
      <c r="G510" s="137"/>
      <c r="H510" s="241">
        <f t="shared" si="113"/>
        <v>0</v>
      </c>
      <c r="I510" s="241">
        <f t="shared" si="114"/>
        <v>0</v>
      </c>
      <c r="J510" s="81" t="e">
        <f>(I510/$I$1421)</f>
        <v>#DIV/0!</v>
      </c>
    </row>
    <row r="511" spans="1:11" s="146" customFormat="1">
      <c r="A511" s="378" t="s">
        <v>1575</v>
      </c>
      <c r="B511" s="378"/>
      <c r="C511" s="378"/>
      <c r="D511" s="378"/>
      <c r="E511" s="378"/>
      <c r="F511" s="378"/>
      <c r="G511" s="378"/>
      <c r="H511" s="378"/>
      <c r="I511" s="177">
        <f>SUM(I509:I510)</f>
        <v>0</v>
      </c>
      <c r="J511" s="144" t="e">
        <f>SUM(J509:J510)</f>
        <v>#DIV/0!</v>
      </c>
      <c r="K511" s="318" t="e">
        <f>I511/$I$587</f>
        <v>#DIV/0!</v>
      </c>
    </row>
    <row r="512" spans="1:11" ht="15.95" customHeight="1">
      <c r="A512" s="61" t="s">
        <v>1577</v>
      </c>
      <c r="B512" s="234"/>
      <c r="C512" s="96"/>
      <c r="D512" s="143" t="s">
        <v>881</v>
      </c>
      <c r="E512" s="384"/>
      <c r="F512" s="385"/>
      <c r="G512" s="385"/>
      <c r="H512" s="385"/>
      <c r="I512" s="385"/>
      <c r="J512" s="386"/>
    </row>
    <row r="513" spans="1:11" s="157" customFormat="1" ht="15.95" customHeight="1" outlineLevel="1">
      <c r="A513" s="63" t="s">
        <v>1579</v>
      </c>
      <c r="B513" s="108" t="s">
        <v>127</v>
      </c>
      <c r="C513" s="108" t="s">
        <v>7</v>
      </c>
      <c r="D513" s="129" t="s">
        <v>128</v>
      </c>
      <c r="E513" s="66" t="s">
        <v>218</v>
      </c>
      <c r="F513" s="64">
        <f>23.7*2.25*0.1</f>
        <v>5.3324999999999996</v>
      </c>
      <c r="G513" s="241"/>
      <c r="H513" s="241">
        <f t="shared" ref="H513:H521" si="115">TRUNC((G513*(1+$I$12)),2)</f>
        <v>0</v>
      </c>
      <c r="I513" s="241">
        <f t="shared" ref="I513:I521" si="116">ROUND((F513*H513),2)</f>
        <v>0</v>
      </c>
      <c r="J513" s="240" t="e">
        <f t="shared" ref="J513:J521" si="117">(I513/$I$1421)</f>
        <v>#DIV/0!</v>
      </c>
    </row>
    <row r="514" spans="1:11" s="157" customFormat="1" ht="40.5" outlineLevel="1">
      <c r="A514" s="63" t="s">
        <v>1578</v>
      </c>
      <c r="B514" s="63">
        <v>100983</v>
      </c>
      <c r="C514" s="63" t="s">
        <v>18</v>
      </c>
      <c r="D514" s="65" t="s">
        <v>1896</v>
      </c>
      <c r="E514" s="86" t="s">
        <v>218</v>
      </c>
      <c r="F514" s="80">
        <f>F513*1.3</f>
        <v>6.9322499999999998</v>
      </c>
      <c r="G514" s="124"/>
      <c r="H514" s="350">
        <f t="shared" si="115"/>
        <v>0</v>
      </c>
      <c r="I514" s="117">
        <f t="shared" si="116"/>
        <v>0</v>
      </c>
      <c r="J514" s="231" t="e">
        <f t="shared" si="117"/>
        <v>#DIV/0!</v>
      </c>
    </row>
    <row r="515" spans="1:11" s="157" customFormat="1" ht="27" outlineLevel="1">
      <c r="A515" s="63" t="s">
        <v>1580</v>
      </c>
      <c r="B515" s="63">
        <v>95875</v>
      </c>
      <c r="C515" s="63" t="s">
        <v>18</v>
      </c>
      <c r="D515" s="65" t="s">
        <v>1898</v>
      </c>
      <c r="E515" s="86" t="s">
        <v>1897</v>
      </c>
      <c r="F515" s="80">
        <f>F514*4</f>
        <v>27.728999999999999</v>
      </c>
      <c r="G515" s="124"/>
      <c r="H515" s="350">
        <f t="shared" si="115"/>
        <v>0</v>
      </c>
      <c r="I515" s="117">
        <f t="shared" si="116"/>
        <v>0</v>
      </c>
      <c r="J515" s="231" t="e">
        <f t="shared" si="117"/>
        <v>#DIV/0!</v>
      </c>
    </row>
    <row r="516" spans="1:11" s="157" customFormat="1" ht="27" outlineLevel="1">
      <c r="A516" s="63" t="s">
        <v>1581</v>
      </c>
      <c r="B516" s="63">
        <v>97084</v>
      </c>
      <c r="C516" s="63" t="s">
        <v>18</v>
      </c>
      <c r="D516" s="65" t="s">
        <v>791</v>
      </c>
      <c r="E516" s="68" t="s">
        <v>116</v>
      </c>
      <c r="F516" s="64">
        <f>23.7*2.25</f>
        <v>53.324999999999996</v>
      </c>
      <c r="G516" s="241"/>
      <c r="H516" s="241">
        <f t="shared" si="115"/>
        <v>0</v>
      </c>
      <c r="I516" s="241">
        <f t="shared" si="116"/>
        <v>0</v>
      </c>
      <c r="J516" s="240" t="e">
        <f t="shared" si="117"/>
        <v>#DIV/0!</v>
      </c>
    </row>
    <row r="517" spans="1:11" s="100" customFormat="1" ht="27" outlineLevel="1">
      <c r="A517" s="63" t="s">
        <v>1582</v>
      </c>
      <c r="B517" s="128">
        <v>96622</v>
      </c>
      <c r="C517" s="128" t="s">
        <v>18</v>
      </c>
      <c r="D517" s="82" t="s">
        <v>1895</v>
      </c>
      <c r="E517" s="88" t="s">
        <v>218</v>
      </c>
      <c r="F517" s="75">
        <f>F516*0.05</f>
        <v>2.6662499999999998</v>
      </c>
      <c r="G517" s="145"/>
      <c r="H517" s="84">
        <f t="shared" si="115"/>
        <v>0</v>
      </c>
      <c r="I517" s="241">
        <f t="shared" si="116"/>
        <v>0</v>
      </c>
      <c r="J517" s="240" t="e">
        <f t="shared" si="117"/>
        <v>#DIV/0!</v>
      </c>
    </row>
    <row r="518" spans="1:11" s="100" customFormat="1" ht="27" outlineLevel="1">
      <c r="A518" s="63" t="s">
        <v>1583</v>
      </c>
      <c r="B518" s="63">
        <v>94993</v>
      </c>
      <c r="C518" s="63" t="s">
        <v>18</v>
      </c>
      <c r="D518" s="65" t="s">
        <v>790</v>
      </c>
      <c r="E518" s="68" t="s">
        <v>116</v>
      </c>
      <c r="F518" s="64">
        <f>23.7*2.25</f>
        <v>53.324999999999996</v>
      </c>
      <c r="G518" s="243"/>
      <c r="H518" s="241">
        <f t="shared" si="115"/>
        <v>0</v>
      </c>
      <c r="I518" s="241">
        <f t="shared" si="116"/>
        <v>0</v>
      </c>
      <c r="J518" s="240" t="e">
        <f t="shared" si="117"/>
        <v>#DIV/0!</v>
      </c>
    </row>
    <row r="519" spans="1:11" s="157" customFormat="1" ht="15.95" customHeight="1" outlineLevel="1">
      <c r="A519" s="63" t="s">
        <v>1584</v>
      </c>
      <c r="B519" s="5" t="s">
        <v>129</v>
      </c>
      <c r="C519" s="5" t="s">
        <v>7</v>
      </c>
      <c r="D519" s="106" t="s">
        <v>130</v>
      </c>
      <c r="E519" s="68" t="s">
        <v>116</v>
      </c>
      <c r="F519" s="64">
        <f>F518</f>
        <v>53.324999999999996</v>
      </c>
      <c r="G519" s="243"/>
      <c r="H519" s="241">
        <f t="shared" si="115"/>
        <v>0</v>
      </c>
      <c r="I519" s="241">
        <f t="shared" si="116"/>
        <v>0</v>
      </c>
      <c r="J519" s="240" t="e">
        <f t="shared" si="117"/>
        <v>#DIV/0!</v>
      </c>
    </row>
    <row r="520" spans="1:11" s="157" customFormat="1" ht="27" outlineLevel="1">
      <c r="A520" s="63" t="s">
        <v>1585</v>
      </c>
      <c r="B520" s="5">
        <v>102491</v>
      </c>
      <c r="C520" s="5" t="s">
        <v>18</v>
      </c>
      <c r="D520" s="106" t="s">
        <v>788</v>
      </c>
      <c r="E520" s="68" t="s">
        <v>116</v>
      </c>
      <c r="F520" s="64">
        <f>F519</f>
        <v>53.324999999999996</v>
      </c>
      <c r="G520" s="241"/>
      <c r="H520" s="241">
        <f t="shared" si="115"/>
        <v>0</v>
      </c>
      <c r="I520" s="241">
        <f t="shared" si="116"/>
        <v>0</v>
      </c>
      <c r="J520" s="240" t="e">
        <f t="shared" si="117"/>
        <v>#DIV/0!</v>
      </c>
    </row>
    <row r="521" spans="1:11" s="157" customFormat="1" outlineLevel="1">
      <c r="A521" s="63" t="s">
        <v>1931</v>
      </c>
      <c r="B521" s="63" t="s">
        <v>10</v>
      </c>
      <c r="C521" s="63" t="str">
        <f>[1]Composições!I60</f>
        <v>COMP05</v>
      </c>
      <c r="D521" s="65" t="str">
        <f>[1]Composições!B60</f>
        <v>CORRIMÃO DUPLO, DIÂMETRO EXTERNO = 1 1/2, EM AÇO GALVANIZADO, INCLUSO PINTURA</v>
      </c>
      <c r="E521" s="66" t="s">
        <v>115</v>
      </c>
      <c r="F521" s="64">
        <f>23.7*2</f>
        <v>47.4</v>
      </c>
      <c r="G521" s="337"/>
      <c r="H521" s="337">
        <f t="shared" si="115"/>
        <v>0</v>
      </c>
      <c r="I521" s="337">
        <f t="shared" si="116"/>
        <v>0</v>
      </c>
      <c r="J521" s="336" t="e">
        <f t="shared" si="117"/>
        <v>#DIV/0!</v>
      </c>
    </row>
    <row r="522" spans="1:11" s="100" customFormat="1">
      <c r="A522" s="378" t="s">
        <v>1586</v>
      </c>
      <c r="B522" s="378"/>
      <c r="C522" s="378"/>
      <c r="D522" s="378"/>
      <c r="E522" s="378"/>
      <c r="F522" s="378"/>
      <c r="G522" s="378"/>
      <c r="H522" s="378"/>
      <c r="I522" s="177">
        <f>SUM(I513:I521)</f>
        <v>0</v>
      </c>
      <c r="J522" s="144" t="e">
        <f>SUM(J513:J521)</f>
        <v>#DIV/0!</v>
      </c>
      <c r="K522" s="318" t="e">
        <f>I522/$I$587</f>
        <v>#DIV/0!</v>
      </c>
    </row>
    <row r="523" spans="1:11" ht="15.95" customHeight="1">
      <c r="A523" s="61" t="s">
        <v>1588</v>
      </c>
      <c r="B523" s="148"/>
      <c r="C523" s="148"/>
      <c r="D523" s="143" t="s">
        <v>1535</v>
      </c>
      <c r="E523" s="384"/>
      <c r="F523" s="385"/>
      <c r="G523" s="385"/>
      <c r="H523" s="385"/>
      <c r="I523" s="385"/>
      <c r="J523" s="386"/>
    </row>
    <row r="524" spans="1:11" s="157" customFormat="1" ht="15.95" customHeight="1" outlineLevel="1">
      <c r="A524" s="103" t="s">
        <v>1803</v>
      </c>
      <c r="B524" s="101" t="s">
        <v>883</v>
      </c>
      <c r="C524" s="101" t="s">
        <v>7</v>
      </c>
      <c r="D524" s="236" t="s">
        <v>882</v>
      </c>
      <c r="E524" s="86" t="s">
        <v>116</v>
      </c>
      <c r="F524" s="80">
        <f>1.5*2.1</f>
        <v>3.1500000000000004</v>
      </c>
      <c r="G524" s="124"/>
      <c r="H524" s="124">
        <f t="shared" ref="H524:H530" si="118">TRUNC((G524*(1+$I$12)),2)</f>
        <v>0</v>
      </c>
      <c r="I524" s="124">
        <f t="shared" ref="I524:I530" si="119">ROUND((F524*H524),2)</f>
        <v>0</v>
      </c>
      <c r="J524" s="81" t="e">
        <f t="shared" ref="J524:J530" si="120">(I524/$I$1421)</f>
        <v>#DIV/0!</v>
      </c>
    </row>
    <row r="525" spans="1:11" s="157" customFormat="1" ht="40.5" outlineLevel="1">
      <c r="A525" s="103" t="s">
        <v>1804</v>
      </c>
      <c r="B525" s="63">
        <v>100983</v>
      </c>
      <c r="C525" s="63" t="s">
        <v>18</v>
      </c>
      <c r="D525" s="65" t="s">
        <v>1896</v>
      </c>
      <c r="E525" s="86" t="s">
        <v>218</v>
      </c>
      <c r="F525" s="80">
        <f>F524*0.05</f>
        <v>0.15750000000000003</v>
      </c>
      <c r="G525" s="124"/>
      <c r="H525" s="350">
        <f t="shared" si="118"/>
        <v>0</v>
      </c>
      <c r="I525" s="117">
        <f t="shared" si="119"/>
        <v>0</v>
      </c>
      <c r="J525" s="231" t="e">
        <f t="shared" si="120"/>
        <v>#DIV/0!</v>
      </c>
    </row>
    <row r="526" spans="1:11" s="157" customFormat="1" ht="27" outlineLevel="1">
      <c r="A526" s="103" t="s">
        <v>1805</v>
      </c>
      <c r="B526" s="63">
        <v>95875</v>
      </c>
      <c r="C526" s="63" t="s">
        <v>18</v>
      </c>
      <c r="D526" s="65" t="s">
        <v>1898</v>
      </c>
      <c r="E526" s="86" t="s">
        <v>1897</v>
      </c>
      <c r="F526" s="80">
        <f>F525*4</f>
        <v>0.63000000000000012</v>
      </c>
      <c r="G526" s="124"/>
      <c r="H526" s="350">
        <f t="shared" si="118"/>
        <v>0</v>
      </c>
      <c r="I526" s="117">
        <f t="shared" si="119"/>
        <v>0</v>
      </c>
      <c r="J526" s="231" t="e">
        <f t="shared" si="120"/>
        <v>#DIV/0!</v>
      </c>
    </row>
    <row r="527" spans="1:11" s="157" customFormat="1" outlineLevel="1">
      <c r="A527" s="103" t="s">
        <v>1806</v>
      </c>
      <c r="B527" s="63" t="s">
        <v>10</v>
      </c>
      <c r="C527" s="63" t="str">
        <f>[1]Composições!$I$114</f>
        <v>COMP08</v>
      </c>
      <c r="D527" s="65" t="str">
        <f>[1]Composições!$B$114</f>
        <v>REQUADRO DE PORTAS E JANELAS</v>
      </c>
      <c r="E527" s="66" t="s">
        <v>116</v>
      </c>
      <c r="F527" s="80">
        <f>(1.5*0.15)+(2.1*0.15*2)</f>
        <v>0.85499999999999998</v>
      </c>
      <c r="G527" s="124"/>
      <c r="H527" s="124">
        <f t="shared" si="118"/>
        <v>0</v>
      </c>
      <c r="I527" s="124">
        <f t="shared" si="119"/>
        <v>0</v>
      </c>
      <c r="J527" s="81" t="e">
        <f t="shared" si="120"/>
        <v>#DIV/0!</v>
      </c>
    </row>
    <row r="528" spans="1:11" s="157" customFormat="1" outlineLevel="1">
      <c r="A528" s="103" t="s">
        <v>1807</v>
      </c>
      <c r="B528" s="63" t="s">
        <v>885</v>
      </c>
      <c r="C528" s="63" t="s">
        <v>7</v>
      </c>
      <c r="D528" s="65" t="s">
        <v>891</v>
      </c>
      <c r="E528" s="66" t="s">
        <v>116</v>
      </c>
      <c r="F528" s="64">
        <f>F524</f>
        <v>3.1500000000000004</v>
      </c>
      <c r="G528" s="241"/>
      <c r="H528" s="241">
        <f t="shared" si="118"/>
        <v>0</v>
      </c>
      <c r="I528" s="124">
        <f t="shared" si="119"/>
        <v>0</v>
      </c>
      <c r="J528" s="81" t="e">
        <f t="shared" si="120"/>
        <v>#DIV/0!</v>
      </c>
    </row>
    <row r="529" spans="1:11" s="157" customFormat="1" outlineLevel="1">
      <c r="A529" s="103" t="s">
        <v>1808</v>
      </c>
      <c r="B529" s="63" t="s">
        <v>886</v>
      </c>
      <c r="C529" s="63" t="s">
        <v>7</v>
      </c>
      <c r="D529" s="65" t="s">
        <v>887</v>
      </c>
      <c r="E529" s="66" t="s">
        <v>118</v>
      </c>
      <c r="F529" s="64">
        <v>1</v>
      </c>
      <c r="G529" s="241"/>
      <c r="H529" s="241">
        <f t="shared" si="118"/>
        <v>0</v>
      </c>
      <c r="I529" s="124">
        <f t="shared" si="119"/>
        <v>0</v>
      </c>
      <c r="J529" s="81" t="e">
        <f t="shared" si="120"/>
        <v>#DIV/0!</v>
      </c>
    </row>
    <row r="530" spans="1:11" s="157" customFormat="1" outlineLevel="1">
      <c r="A530" s="103" t="s">
        <v>1932</v>
      </c>
      <c r="B530" s="63" t="s">
        <v>889</v>
      </c>
      <c r="C530" s="63" t="s">
        <v>7</v>
      </c>
      <c r="D530" s="65" t="s">
        <v>888</v>
      </c>
      <c r="E530" s="66" t="s">
        <v>118</v>
      </c>
      <c r="F530" s="64">
        <v>1</v>
      </c>
      <c r="G530" s="241"/>
      <c r="H530" s="241">
        <f t="shared" si="118"/>
        <v>0</v>
      </c>
      <c r="I530" s="124">
        <f t="shared" si="119"/>
        <v>0</v>
      </c>
      <c r="J530" s="81" t="e">
        <f t="shared" si="120"/>
        <v>#DIV/0!</v>
      </c>
    </row>
    <row r="531" spans="1:11" s="100" customFormat="1">
      <c r="A531" s="378" t="s">
        <v>1587</v>
      </c>
      <c r="B531" s="378"/>
      <c r="C531" s="378"/>
      <c r="D531" s="378"/>
      <c r="E531" s="378"/>
      <c r="F531" s="378"/>
      <c r="G531" s="378"/>
      <c r="H531" s="378"/>
      <c r="I531" s="177">
        <f>SUM(I524:I530)</f>
        <v>0</v>
      </c>
      <c r="J531" s="144" t="e">
        <f>SUM(J524:J530)</f>
        <v>#DIV/0!</v>
      </c>
      <c r="K531" s="318" t="e">
        <f>I531/$I$587</f>
        <v>#DIV/0!</v>
      </c>
    </row>
    <row r="532" spans="1:11" s="191" customFormat="1" ht="15.95" customHeight="1">
      <c r="A532" s="61" t="s">
        <v>1589</v>
      </c>
      <c r="B532" s="148"/>
      <c r="C532" s="148"/>
      <c r="D532" s="143" t="s">
        <v>890</v>
      </c>
      <c r="E532" s="384"/>
      <c r="F532" s="385"/>
      <c r="G532" s="385"/>
      <c r="H532" s="385"/>
      <c r="I532" s="385"/>
      <c r="J532" s="386"/>
    </row>
    <row r="533" spans="1:11" s="157" customFormat="1" outlineLevel="1">
      <c r="A533" s="63" t="s">
        <v>1774</v>
      </c>
      <c r="B533" s="63">
        <v>103946</v>
      </c>
      <c r="C533" s="63" t="s">
        <v>18</v>
      </c>
      <c r="D533" s="65" t="s">
        <v>1410</v>
      </c>
      <c r="E533" s="68" t="s">
        <v>116</v>
      </c>
      <c r="F533" s="64">
        <v>58.5</v>
      </c>
      <c r="G533" s="244"/>
      <c r="H533" s="124">
        <f t="shared" ref="H533" si="121">TRUNC((G533*(1+$I$12)),2)</f>
        <v>0</v>
      </c>
      <c r="I533" s="124">
        <f t="shared" ref="I533:I540" si="122">ROUND((F533*H533),2)</f>
        <v>0</v>
      </c>
      <c r="J533" s="81" t="e">
        <f t="shared" ref="J533:J540" si="123">(I533/$I$1421)</f>
        <v>#DIV/0!</v>
      </c>
    </row>
    <row r="534" spans="1:11" s="100" customFormat="1" ht="27" outlineLevel="1">
      <c r="A534" s="63" t="s">
        <v>1775</v>
      </c>
      <c r="B534" s="128" t="s">
        <v>1769</v>
      </c>
      <c r="C534" s="128" t="s">
        <v>7</v>
      </c>
      <c r="D534" s="82" t="s">
        <v>1766</v>
      </c>
      <c r="E534" s="88" t="s">
        <v>116</v>
      </c>
      <c r="F534" s="75">
        <v>300</v>
      </c>
      <c r="G534" s="145"/>
      <c r="H534" s="124">
        <f>TRUNC((G534*(1+$I$12)),2)</f>
        <v>0</v>
      </c>
      <c r="I534" s="124">
        <f t="shared" si="122"/>
        <v>0</v>
      </c>
      <c r="J534" s="81" t="e">
        <f t="shared" si="123"/>
        <v>#DIV/0!</v>
      </c>
    </row>
    <row r="535" spans="1:11" s="100" customFormat="1" ht="27" outlineLevel="1">
      <c r="A535" s="63" t="s">
        <v>1776</v>
      </c>
      <c r="B535" s="63" t="s">
        <v>1768</v>
      </c>
      <c r="C535" s="63" t="s">
        <v>7</v>
      </c>
      <c r="D535" s="65" t="s">
        <v>1767</v>
      </c>
      <c r="E535" s="68" t="s">
        <v>116</v>
      </c>
      <c r="F535" s="64">
        <v>300</v>
      </c>
      <c r="G535" s="245"/>
      <c r="H535" s="124">
        <f t="shared" ref="H535" si="124">TRUNC((G535*(1+$I$12)),2)</f>
        <v>0</v>
      </c>
      <c r="I535" s="124">
        <f t="shared" si="122"/>
        <v>0</v>
      </c>
      <c r="J535" s="81" t="e">
        <f t="shared" si="123"/>
        <v>#DIV/0!</v>
      </c>
    </row>
    <row r="536" spans="1:11" s="157" customFormat="1" ht="15.95" customHeight="1" outlineLevel="1">
      <c r="A536" s="63" t="s">
        <v>1777</v>
      </c>
      <c r="B536" s="5" t="s">
        <v>1771</v>
      </c>
      <c r="C536" s="5" t="s">
        <v>7</v>
      </c>
      <c r="D536" s="106" t="s">
        <v>1770</v>
      </c>
      <c r="E536" s="68" t="s">
        <v>116</v>
      </c>
      <c r="F536" s="64">
        <v>6.65</v>
      </c>
      <c r="G536" s="245"/>
      <c r="H536" s="124">
        <f t="shared" ref="H536:H538" si="125">TRUNC((G536*(1+$I$12)),2)</f>
        <v>0</v>
      </c>
      <c r="I536" s="124">
        <f t="shared" si="122"/>
        <v>0</v>
      </c>
      <c r="J536" s="81" t="e">
        <f t="shared" si="123"/>
        <v>#DIV/0!</v>
      </c>
      <c r="K536" s="253" t="e">
        <f>#REF!+I61+I84+I105+I142+I167+I190+I220+I250+I280+I310+I340+I370+I400+I431+I445+I457+I466+I497+I507+I511+I473+I522+I531+I541+I617+I647+I1235+I1400</f>
        <v>#REF!</v>
      </c>
    </row>
    <row r="537" spans="1:11" s="157" customFormat="1" outlineLevel="1">
      <c r="A537" s="63" t="s">
        <v>1778</v>
      </c>
      <c r="B537" s="5" t="s">
        <v>1773</v>
      </c>
      <c r="C537" s="5" t="s">
        <v>9</v>
      </c>
      <c r="D537" s="106" t="s">
        <v>1772</v>
      </c>
      <c r="E537" s="68" t="s">
        <v>221</v>
      </c>
      <c r="F537" s="64">
        <v>1</v>
      </c>
      <c r="G537" s="244" t="s">
        <v>10</v>
      </c>
      <c r="H537" s="350"/>
      <c r="I537" s="124">
        <f t="shared" si="122"/>
        <v>0</v>
      </c>
      <c r="J537" s="81" t="e">
        <f t="shared" si="123"/>
        <v>#DIV/0!</v>
      </c>
    </row>
    <row r="538" spans="1:11" s="157" customFormat="1" ht="27" outlineLevel="1">
      <c r="A538" s="63" t="s">
        <v>1841</v>
      </c>
      <c r="B538" s="5" t="s">
        <v>10</v>
      </c>
      <c r="C538" s="5" t="str">
        <f>[1]Composições!$I$168</f>
        <v>COMP15</v>
      </c>
      <c r="D538" s="106" t="str">
        <f>[1]Composições!$B$168</f>
        <v>EXECUÇÃO DE CANALETA DE ESCOAMENTO DE ÁGUAS PLUVIAIS, COM PAREDES EM BLOCOS DE CONCRETO GRAUTEADOS, INCLUSO MASSA ÚNICA E CONCRETAGEM DE FUNDO</v>
      </c>
      <c r="E538" s="66" t="s">
        <v>115</v>
      </c>
      <c r="F538" s="64">
        <v>14</v>
      </c>
      <c r="G538" s="249"/>
      <c r="H538" s="124">
        <f t="shared" si="125"/>
        <v>0</v>
      </c>
      <c r="I538" s="124">
        <f t="shared" si="122"/>
        <v>0</v>
      </c>
      <c r="J538" s="81" t="e">
        <f t="shared" si="123"/>
        <v>#DIV/0!</v>
      </c>
    </row>
    <row r="539" spans="1:11" s="157" customFormat="1" ht="15.95" customHeight="1" outlineLevel="1">
      <c r="A539" s="63" t="s">
        <v>1842</v>
      </c>
      <c r="B539" s="101" t="s">
        <v>166</v>
      </c>
      <c r="C539" s="101" t="s">
        <v>9</v>
      </c>
      <c r="D539" s="102" t="s">
        <v>795</v>
      </c>
      <c r="E539" s="86" t="s">
        <v>115</v>
      </c>
      <c r="F539" s="80">
        <v>14</v>
      </c>
      <c r="G539" s="124" t="s">
        <v>10</v>
      </c>
      <c r="H539" s="124"/>
      <c r="I539" s="124">
        <f t="shared" si="122"/>
        <v>0</v>
      </c>
      <c r="J539" s="81" t="e">
        <f t="shared" si="123"/>
        <v>#DIV/0!</v>
      </c>
    </row>
    <row r="540" spans="1:11" s="157" customFormat="1" ht="27" outlineLevel="1">
      <c r="A540" s="63" t="s">
        <v>1843</v>
      </c>
      <c r="B540" s="101">
        <v>102491</v>
      </c>
      <c r="C540" s="101" t="s">
        <v>18</v>
      </c>
      <c r="D540" s="102" t="s">
        <v>788</v>
      </c>
      <c r="E540" s="87" t="s">
        <v>116</v>
      </c>
      <c r="F540" s="80">
        <f>F539*0.35</f>
        <v>4.8999999999999995</v>
      </c>
      <c r="G540" s="124"/>
      <c r="H540" s="124">
        <f>TRUNC((G540*(1+$I$12)),2)</f>
        <v>0</v>
      </c>
      <c r="I540" s="124">
        <f t="shared" si="122"/>
        <v>0</v>
      </c>
      <c r="J540" s="81" t="e">
        <f t="shared" si="123"/>
        <v>#DIV/0!</v>
      </c>
    </row>
    <row r="541" spans="1:11" s="100" customFormat="1">
      <c r="A541" s="378" t="s">
        <v>1599</v>
      </c>
      <c r="B541" s="378"/>
      <c r="C541" s="378"/>
      <c r="D541" s="378"/>
      <c r="E541" s="378"/>
      <c r="F541" s="378"/>
      <c r="G541" s="378"/>
      <c r="H541" s="378"/>
      <c r="I541" s="177">
        <f>SUM(I533:I540)</f>
        <v>0</v>
      </c>
      <c r="J541" s="144" t="e">
        <f>SUM(J533:J540)</f>
        <v>#DIV/0!</v>
      </c>
      <c r="K541" s="318" t="e">
        <f>I541/$I$587</f>
        <v>#DIV/0!</v>
      </c>
    </row>
    <row r="542" spans="1:11" ht="15.95" customHeight="1">
      <c r="A542" s="61" t="s">
        <v>1590</v>
      </c>
      <c r="B542" s="148"/>
      <c r="C542" s="148"/>
      <c r="D542" s="143" t="s">
        <v>1536</v>
      </c>
      <c r="E542" s="384"/>
      <c r="F542" s="385"/>
      <c r="G542" s="385"/>
      <c r="H542" s="385"/>
      <c r="I542" s="385"/>
      <c r="J542" s="386"/>
    </row>
    <row r="543" spans="1:11" s="157" customFormat="1" ht="15.95" customHeight="1" outlineLevel="1">
      <c r="A543" s="103" t="s">
        <v>1591</v>
      </c>
      <c r="B543" s="101" t="s">
        <v>883</v>
      </c>
      <c r="C543" s="101" t="s">
        <v>7</v>
      </c>
      <c r="D543" s="236" t="s">
        <v>882</v>
      </c>
      <c r="E543" s="86" t="s">
        <v>116</v>
      </c>
      <c r="F543" s="80">
        <f>3*2.1</f>
        <v>6.3000000000000007</v>
      </c>
      <c r="G543" s="124"/>
      <c r="H543" s="124">
        <f t="shared" ref="H543:H550" si="126">TRUNC((G543*(1+$I$12)),2)</f>
        <v>0</v>
      </c>
      <c r="I543" s="124">
        <f t="shared" ref="I543:I550" si="127">ROUND((F543*H543),2)</f>
        <v>0</v>
      </c>
      <c r="J543" s="81" t="e">
        <f t="shared" ref="J543:J550" si="128">(I543/$I$1421)</f>
        <v>#DIV/0!</v>
      </c>
    </row>
    <row r="544" spans="1:11" s="157" customFormat="1" ht="39.75" customHeight="1" outlineLevel="1">
      <c r="A544" s="103" t="s">
        <v>1592</v>
      </c>
      <c r="B544" s="63">
        <v>100983</v>
      </c>
      <c r="C544" s="63" t="s">
        <v>18</v>
      </c>
      <c r="D544" s="65" t="s">
        <v>1896</v>
      </c>
      <c r="E544" s="86" t="s">
        <v>218</v>
      </c>
      <c r="F544" s="80">
        <f>F543*0.05</f>
        <v>0.31500000000000006</v>
      </c>
      <c r="G544" s="124"/>
      <c r="H544" s="350">
        <f t="shared" si="126"/>
        <v>0</v>
      </c>
      <c r="I544" s="117">
        <f t="shared" si="127"/>
        <v>0</v>
      </c>
      <c r="J544" s="231" t="e">
        <f t="shared" si="128"/>
        <v>#DIV/0!</v>
      </c>
    </row>
    <row r="545" spans="1:11" s="157" customFormat="1" ht="27" outlineLevel="1">
      <c r="A545" s="103" t="s">
        <v>1593</v>
      </c>
      <c r="B545" s="63">
        <v>95875</v>
      </c>
      <c r="C545" s="63" t="s">
        <v>18</v>
      </c>
      <c r="D545" s="65" t="s">
        <v>1898</v>
      </c>
      <c r="E545" s="86" t="s">
        <v>1897</v>
      </c>
      <c r="F545" s="80">
        <f>F544*4</f>
        <v>1.2600000000000002</v>
      </c>
      <c r="G545" s="124"/>
      <c r="H545" s="350">
        <f t="shared" si="126"/>
        <v>0</v>
      </c>
      <c r="I545" s="117">
        <f t="shared" si="127"/>
        <v>0</v>
      </c>
      <c r="J545" s="231" t="e">
        <f t="shared" si="128"/>
        <v>#DIV/0!</v>
      </c>
    </row>
    <row r="546" spans="1:11" s="157" customFormat="1" outlineLevel="1">
      <c r="A546" s="103" t="s">
        <v>1594</v>
      </c>
      <c r="B546" s="63" t="s">
        <v>10</v>
      </c>
      <c r="C546" s="63" t="str">
        <f>[1]Composições!$I$114</f>
        <v>COMP08</v>
      </c>
      <c r="D546" s="65" t="str">
        <f>[1]Composições!$B$114</f>
        <v>REQUADRO DE PORTAS E JANELAS</v>
      </c>
      <c r="E546" s="66" t="s">
        <v>116</v>
      </c>
      <c r="F546" s="80">
        <f>(3*0.15)+(2.1*0.15*2)</f>
        <v>1.08</v>
      </c>
      <c r="G546" s="124"/>
      <c r="H546" s="124">
        <f t="shared" si="126"/>
        <v>0</v>
      </c>
      <c r="I546" s="124">
        <f t="shared" si="127"/>
        <v>0</v>
      </c>
      <c r="J546" s="81" t="e">
        <f t="shared" si="128"/>
        <v>#DIV/0!</v>
      </c>
    </row>
    <row r="547" spans="1:11" s="157" customFormat="1" outlineLevel="1">
      <c r="A547" s="103" t="s">
        <v>1595</v>
      </c>
      <c r="B547" s="63" t="s">
        <v>885</v>
      </c>
      <c r="C547" s="63" t="s">
        <v>7</v>
      </c>
      <c r="D547" s="65" t="s">
        <v>891</v>
      </c>
      <c r="E547" s="66" t="s">
        <v>116</v>
      </c>
      <c r="F547" s="64">
        <f>F543</f>
        <v>6.3000000000000007</v>
      </c>
      <c r="G547" s="244"/>
      <c r="H547" s="244">
        <f t="shared" si="126"/>
        <v>0</v>
      </c>
      <c r="I547" s="124">
        <f t="shared" si="127"/>
        <v>0</v>
      </c>
      <c r="J547" s="81" t="e">
        <f t="shared" si="128"/>
        <v>#DIV/0!</v>
      </c>
    </row>
    <row r="548" spans="1:11" s="157" customFormat="1" outlineLevel="1">
      <c r="A548" s="103" t="s">
        <v>1596</v>
      </c>
      <c r="B548" s="63" t="s">
        <v>886</v>
      </c>
      <c r="C548" s="63" t="s">
        <v>7</v>
      </c>
      <c r="D548" s="65" t="s">
        <v>887</v>
      </c>
      <c r="E548" s="66" t="s">
        <v>118</v>
      </c>
      <c r="F548" s="64">
        <v>1</v>
      </c>
      <c r="G548" s="244"/>
      <c r="H548" s="244">
        <f t="shared" si="126"/>
        <v>0</v>
      </c>
      <c r="I548" s="124">
        <f t="shared" si="127"/>
        <v>0</v>
      </c>
      <c r="J548" s="81" t="e">
        <f t="shared" si="128"/>
        <v>#DIV/0!</v>
      </c>
    </row>
    <row r="549" spans="1:11" s="157" customFormat="1" outlineLevel="1">
      <c r="A549" s="103" t="s">
        <v>1597</v>
      </c>
      <c r="B549" s="63" t="s">
        <v>889</v>
      </c>
      <c r="C549" s="63" t="s">
        <v>7</v>
      </c>
      <c r="D549" s="65" t="s">
        <v>888</v>
      </c>
      <c r="E549" s="66" t="s">
        <v>118</v>
      </c>
      <c r="F549" s="64">
        <v>1</v>
      </c>
      <c r="G549" s="244"/>
      <c r="H549" s="244">
        <f t="shared" si="126"/>
        <v>0</v>
      </c>
      <c r="I549" s="124">
        <f t="shared" si="127"/>
        <v>0</v>
      </c>
      <c r="J549" s="81" t="e">
        <f t="shared" si="128"/>
        <v>#DIV/0!</v>
      </c>
    </row>
    <row r="550" spans="1:11" s="157" customFormat="1" outlineLevel="1">
      <c r="A550" s="103" t="s">
        <v>1933</v>
      </c>
      <c r="B550" s="63" t="s">
        <v>1538</v>
      </c>
      <c r="C550" s="63" t="s">
        <v>7</v>
      </c>
      <c r="D550" s="65" t="s">
        <v>1537</v>
      </c>
      <c r="E550" s="66" t="s">
        <v>118</v>
      </c>
      <c r="F550" s="64">
        <v>1</v>
      </c>
      <c r="G550" s="244"/>
      <c r="H550" s="244">
        <f t="shared" si="126"/>
        <v>0</v>
      </c>
      <c r="I550" s="124">
        <f t="shared" si="127"/>
        <v>0</v>
      </c>
      <c r="J550" s="81" t="e">
        <f t="shared" si="128"/>
        <v>#DIV/0!</v>
      </c>
    </row>
    <row r="551" spans="1:11" s="100" customFormat="1">
      <c r="A551" s="378" t="s">
        <v>1598</v>
      </c>
      <c r="B551" s="378"/>
      <c r="C551" s="378"/>
      <c r="D551" s="378"/>
      <c r="E551" s="378"/>
      <c r="F551" s="378"/>
      <c r="G551" s="378"/>
      <c r="H551" s="378"/>
      <c r="I551" s="177">
        <f>SUM(I543:I550)</f>
        <v>0</v>
      </c>
      <c r="J551" s="144" t="e">
        <f>SUM(J543:J550)</f>
        <v>#DIV/0!</v>
      </c>
      <c r="K551" s="318" t="e">
        <f>I551/$I$587</f>
        <v>#DIV/0!</v>
      </c>
    </row>
    <row r="552" spans="1:11" ht="15.95" customHeight="1">
      <c r="A552" s="61" t="s">
        <v>1996</v>
      </c>
      <c r="B552" s="148"/>
      <c r="C552" s="148"/>
      <c r="D552" s="143" t="s">
        <v>1997</v>
      </c>
      <c r="E552" s="384"/>
      <c r="F552" s="385"/>
      <c r="G552" s="385"/>
      <c r="H552" s="385"/>
      <c r="I552" s="385"/>
      <c r="J552" s="386"/>
    </row>
    <row r="553" spans="1:11" ht="15.95" customHeight="1">
      <c r="A553" s="61" t="s">
        <v>1998</v>
      </c>
      <c r="B553" s="234"/>
      <c r="C553" s="96"/>
      <c r="D553" s="143" t="s">
        <v>2044</v>
      </c>
      <c r="E553" s="361"/>
      <c r="F553" s="362"/>
      <c r="G553" s="362"/>
      <c r="H553" s="362"/>
      <c r="I553" s="362"/>
      <c r="J553" s="363"/>
    </row>
    <row r="554" spans="1:11" s="157" customFormat="1" ht="15.95" customHeight="1" outlineLevel="1">
      <c r="A554" s="63" t="s">
        <v>2001</v>
      </c>
      <c r="B554" s="108" t="s">
        <v>127</v>
      </c>
      <c r="C554" s="108" t="s">
        <v>7</v>
      </c>
      <c r="D554" s="129" t="s">
        <v>128</v>
      </c>
      <c r="E554" s="66" t="s">
        <v>218</v>
      </c>
      <c r="F554" s="64">
        <f>49.5*0.1</f>
        <v>4.95</v>
      </c>
      <c r="G554" s="365"/>
      <c r="H554" s="365">
        <f t="shared" ref="H554:H566" si="129">TRUNC((G554*(1+$I$12)),2)</f>
        <v>0</v>
      </c>
      <c r="I554" s="365">
        <f t="shared" ref="I554:I566" si="130">ROUND((F554*H554),2)</f>
        <v>0</v>
      </c>
      <c r="J554" s="364" t="e">
        <f t="shared" ref="J554:J566" si="131">(I554/$I$1421)</f>
        <v>#DIV/0!</v>
      </c>
    </row>
    <row r="555" spans="1:11" s="157" customFormat="1" ht="15.95" customHeight="1" outlineLevel="1">
      <c r="A555" s="63" t="s">
        <v>2002</v>
      </c>
      <c r="B555" s="101" t="s">
        <v>883</v>
      </c>
      <c r="C555" s="101" t="s">
        <v>7</v>
      </c>
      <c r="D555" s="236" t="s">
        <v>2045</v>
      </c>
      <c r="E555" s="86"/>
      <c r="F555" s="80">
        <v>2.1</v>
      </c>
      <c r="G555" s="124"/>
      <c r="H555" s="377"/>
      <c r="I555" s="147"/>
      <c r="J555" s="440"/>
    </row>
    <row r="556" spans="1:11" s="157" customFormat="1" ht="40.5" outlineLevel="1">
      <c r="A556" s="63" t="s">
        <v>2003</v>
      </c>
      <c r="B556" s="63">
        <v>100983</v>
      </c>
      <c r="C556" s="63" t="s">
        <v>18</v>
      </c>
      <c r="D556" s="65" t="s">
        <v>1896</v>
      </c>
      <c r="E556" s="86" t="s">
        <v>218</v>
      </c>
      <c r="F556" s="80">
        <v>6.57</v>
      </c>
      <c r="G556" s="124"/>
      <c r="H556" s="365">
        <f t="shared" si="129"/>
        <v>0</v>
      </c>
      <c r="I556" s="117">
        <f t="shared" si="130"/>
        <v>0</v>
      </c>
      <c r="J556" s="231" t="e">
        <f t="shared" si="131"/>
        <v>#DIV/0!</v>
      </c>
    </row>
    <row r="557" spans="1:11" s="157" customFormat="1" ht="27" outlineLevel="1">
      <c r="A557" s="63" t="s">
        <v>2004</v>
      </c>
      <c r="B557" s="63">
        <v>95875</v>
      </c>
      <c r="C557" s="63" t="s">
        <v>18</v>
      </c>
      <c r="D557" s="65" t="s">
        <v>1898</v>
      </c>
      <c r="E557" s="86" t="s">
        <v>1897</v>
      </c>
      <c r="F557" s="80">
        <v>26.29</v>
      </c>
      <c r="G557" s="124"/>
      <c r="H557" s="365">
        <f t="shared" si="129"/>
        <v>0</v>
      </c>
      <c r="I557" s="117">
        <f t="shared" si="130"/>
        <v>0</v>
      </c>
      <c r="J557" s="231" t="e">
        <f t="shared" si="131"/>
        <v>#DIV/0!</v>
      </c>
    </row>
    <row r="558" spans="1:11" s="157" customFormat="1" outlineLevel="1">
      <c r="A558" s="63" t="s">
        <v>2005</v>
      </c>
      <c r="B558" s="63" t="s">
        <v>10</v>
      </c>
      <c r="C558" s="63" t="str">
        <f>[1]Composições!$I$114</f>
        <v>COMP08</v>
      </c>
      <c r="D558" s="65" t="str">
        <f>[1]Composições!$B$114</f>
        <v>REQUADRO DE PORTAS E JANELAS</v>
      </c>
      <c r="E558" s="66" t="s">
        <v>116</v>
      </c>
      <c r="F558" s="80">
        <f>(3*0.15)+(2.1*0.15*2)</f>
        <v>1.08</v>
      </c>
      <c r="G558" s="124"/>
      <c r="H558" s="377"/>
      <c r="I558" s="441"/>
      <c r="J558" s="440"/>
    </row>
    <row r="559" spans="1:11" s="157" customFormat="1" outlineLevel="1">
      <c r="A559" s="63" t="s">
        <v>2006</v>
      </c>
      <c r="B559" s="63" t="s">
        <v>885</v>
      </c>
      <c r="C559" s="63" t="s">
        <v>7</v>
      </c>
      <c r="D559" s="65" t="s">
        <v>891</v>
      </c>
      <c r="E559" s="66" t="s">
        <v>116</v>
      </c>
      <c r="F559" s="64">
        <f>F555</f>
        <v>2.1</v>
      </c>
      <c r="G559" s="124"/>
      <c r="H559" s="377"/>
      <c r="I559" s="441"/>
      <c r="J559" s="440"/>
    </row>
    <row r="560" spans="1:11" s="157" customFormat="1" outlineLevel="1">
      <c r="A560" s="63" t="s">
        <v>2007</v>
      </c>
      <c r="B560" s="63" t="s">
        <v>886</v>
      </c>
      <c r="C560" s="63" t="s">
        <v>7</v>
      </c>
      <c r="D560" s="65" t="s">
        <v>887</v>
      </c>
      <c r="E560" s="66" t="s">
        <v>118</v>
      </c>
      <c r="F560" s="64">
        <v>1</v>
      </c>
      <c r="G560" s="124"/>
      <c r="H560" s="377"/>
      <c r="I560" s="441"/>
      <c r="J560" s="440"/>
    </row>
    <row r="561" spans="1:11" s="157" customFormat="1" outlineLevel="1">
      <c r="A561" s="63" t="s">
        <v>2008</v>
      </c>
      <c r="B561" s="63" t="s">
        <v>889</v>
      </c>
      <c r="C561" s="63" t="s">
        <v>7</v>
      </c>
      <c r="D561" s="65" t="s">
        <v>888</v>
      </c>
      <c r="E561" s="66" t="s">
        <v>118</v>
      </c>
      <c r="F561" s="64">
        <v>1</v>
      </c>
      <c r="G561" s="124"/>
      <c r="H561" s="377"/>
      <c r="I561" s="441"/>
      <c r="J561" s="440"/>
    </row>
    <row r="562" spans="1:11" s="157" customFormat="1" ht="27" outlineLevel="1">
      <c r="A562" s="63" t="s">
        <v>2046</v>
      </c>
      <c r="B562" s="63">
        <v>97084</v>
      </c>
      <c r="C562" s="63" t="s">
        <v>18</v>
      </c>
      <c r="D562" s="65" t="s">
        <v>791</v>
      </c>
      <c r="E562" s="68" t="s">
        <v>116</v>
      </c>
      <c r="F562" s="64">
        <v>49.5</v>
      </c>
      <c r="G562" s="365"/>
      <c r="H562" s="365">
        <f t="shared" si="129"/>
        <v>0</v>
      </c>
      <c r="I562" s="365">
        <f t="shared" si="130"/>
        <v>0</v>
      </c>
      <c r="J562" s="364" t="e">
        <f t="shared" si="131"/>
        <v>#DIV/0!</v>
      </c>
    </row>
    <row r="563" spans="1:11" s="100" customFormat="1" ht="27" outlineLevel="1">
      <c r="A563" s="63" t="s">
        <v>2047</v>
      </c>
      <c r="B563" s="128">
        <v>96622</v>
      </c>
      <c r="C563" s="128" t="s">
        <v>18</v>
      </c>
      <c r="D563" s="82" t="s">
        <v>1895</v>
      </c>
      <c r="E563" s="88" t="s">
        <v>218</v>
      </c>
      <c r="F563" s="75">
        <f>F562*0.05</f>
        <v>2.4750000000000001</v>
      </c>
      <c r="G563" s="145"/>
      <c r="H563" s="84">
        <f t="shared" si="129"/>
        <v>0</v>
      </c>
      <c r="I563" s="365">
        <f t="shared" si="130"/>
        <v>0</v>
      </c>
      <c r="J563" s="364" t="e">
        <f t="shared" si="131"/>
        <v>#DIV/0!</v>
      </c>
    </row>
    <row r="564" spans="1:11" s="100" customFormat="1" ht="27" outlineLevel="1">
      <c r="A564" s="63" t="s">
        <v>2048</v>
      </c>
      <c r="B564" s="63">
        <v>94993</v>
      </c>
      <c r="C564" s="63" t="s">
        <v>18</v>
      </c>
      <c r="D564" s="65" t="s">
        <v>790</v>
      </c>
      <c r="E564" s="68" t="s">
        <v>116</v>
      </c>
      <c r="F564" s="64">
        <v>49.5</v>
      </c>
      <c r="G564" s="366"/>
      <c r="H564" s="365">
        <f t="shared" si="129"/>
        <v>0</v>
      </c>
      <c r="I564" s="365">
        <f t="shared" si="130"/>
        <v>0</v>
      </c>
      <c r="J564" s="364" t="e">
        <f t="shared" si="131"/>
        <v>#DIV/0!</v>
      </c>
    </row>
    <row r="565" spans="1:11" s="157" customFormat="1" ht="15.95" customHeight="1" outlineLevel="1">
      <c r="A565" s="63" t="s">
        <v>2049</v>
      </c>
      <c r="B565" s="5" t="s">
        <v>129</v>
      </c>
      <c r="C565" s="5" t="s">
        <v>7</v>
      </c>
      <c r="D565" s="106" t="s">
        <v>130</v>
      </c>
      <c r="E565" s="68" t="s">
        <v>116</v>
      </c>
      <c r="F565" s="64">
        <v>49.5</v>
      </c>
      <c r="G565" s="366"/>
      <c r="H565" s="365">
        <f t="shared" si="129"/>
        <v>0</v>
      </c>
      <c r="I565" s="365">
        <f t="shared" si="130"/>
        <v>0</v>
      </c>
      <c r="J565" s="364" t="e">
        <f t="shared" si="131"/>
        <v>#DIV/0!</v>
      </c>
    </row>
    <row r="566" spans="1:11" s="157" customFormat="1" ht="27" outlineLevel="1">
      <c r="A566" s="63" t="s">
        <v>2050</v>
      </c>
      <c r="B566" s="5">
        <v>102491</v>
      </c>
      <c r="C566" s="5" t="s">
        <v>18</v>
      </c>
      <c r="D566" s="106" t="s">
        <v>788</v>
      </c>
      <c r="E566" s="68" t="s">
        <v>116</v>
      </c>
      <c r="F566" s="64">
        <v>49.5</v>
      </c>
      <c r="G566" s="365"/>
      <c r="H566" s="365">
        <f t="shared" si="129"/>
        <v>0</v>
      </c>
      <c r="I566" s="365">
        <f t="shared" si="130"/>
        <v>0</v>
      </c>
      <c r="J566" s="364" t="e">
        <f t="shared" si="131"/>
        <v>#DIV/0!</v>
      </c>
    </row>
    <row r="567" spans="1:11" s="100" customFormat="1">
      <c r="A567" s="378" t="s">
        <v>2009</v>
      </c>
      <c r="B567" s="378"/>
      <c r="C567" s="378"/>
      <c r="D567" s="378"/>
      <c r="E567" s="378"/>
      <c r="F567" s="378"/>
      <c r="G567" s="378"/>
      <c r="H567" s="378"/>
      <c r="I567" s="177">
        <f>SUM(I554:I566)</f>
        <v>0</v>
      </c>
      <c r="J567" s="144" t="e">
        <f>SUM(J554:J566)</f>
        <v>#DIV/0!</v>
      </c>
      <c r="K567" s="373"/>
    </row>
    <row r="568" spans="1:11" ht="15.95" customHeight="1">
      <c r="A568" s="61" t="s">
        <v>1999</v>
      </c>
      <c r="B568" s="234"/>
      <c r="C568" s="96"/>
      <c r="D568" s="143" t="s">
        <v>2010</v>
      </c>
      <c r="E568" s="361"/>
      <c r="F568" s="362"/>
      <c r="G568" s="362"/>
      <c r="H568" s="362"/>
      <c r="I568" s="362"/>
      <c r="J568" s="363"/>
    </row>
    <row r="569" spans="1:11" s="157" customFormat="1" ht="15.95" customHeight="1" outlineLevel="1">
      <c r="A569" s="138" t="s">
        <v>2011</v>
      </c>
      <c r="B569" s="63" t="s">
        <v>385</v>
      </c>
      <c r="C569" s="63" t="s">
        <v>9</v>
      </c>
      <c r="D569" s="65" t="s">
        <v>384</v>
      </c>
      <c r="E569" s="66" t="s">
        <v>116</v>
      </c>
      <c r="F569" s="64">
        <f>2*1</f>
        <v>2</v>
      </c>
      <c r="G569" s="365" t="s">
        <v>10</v>
      </c>
      <c r="H569" s="365"/>
      <c r="I569" s="117">
        <f t="shared" ref="I569" si="132">ROUND((F569*H569),2)</f>
        <v>0</v>
      </c>
      <c r="J569" s="246" t="e">
        <f t="shared" ref="J569:J578" si="133">(I569/$I$1421)</f>
        <v>#DIV/0!</v>
      </c>
    </row>
    <row r="570" spans="1:11" s="100" customFormat="1" outlineLevel="1">
      <c r="A570" s="138" t="s">
        <v>2012</v>
      </c>
      <c r="B570" s="103" t="s">
        <v>20</v>
      </c>
      <c r="C570" s="103" t="s">
        <v>9</v>
      </c>
      <c r="D570" s="65" t="s">
        <v>119</v>
      </c>
      <c r="E570" s="66" t="s">
        <v>116</v>
      </c>
      <c r="F570" s="64">
        <f>F577+F576</f>
        <v>5.44</v>
      </c>
      <c r="G570" s="372" t="s">
        <v>10</v>
      </c>
      <c r="H570" s="372"/>
      <c r="I570" s="133">
        <f>ROUND((F570*H570),2)</f>
        <v>0</v>
      </c>
      <c r="J570" s="231" t="e">
        <f t="shared" si="133"/>
        <v>#DIV/0!</v>
      </c>
    </row>
    <row r="571" spans="1:11" s="157" customFormat="1" ht="30.75" customHeight="1" outlineLevel="1">
      <c r="A571" s="138" t="s">
        <v>2013</v>
      </c>
      <c r="B571" s="63">
        <v>100983</v>
      </c>
      <c r="C571" s="63" t="s">
        <v>18</v>
      </c>
      <c r="D571" s="65" t="s">
        <v>1896</v>
      </c>
      <c r="E571" s="86" t="s">
        <v>218</v>
      </c>
      <c r="F571" s="80">
        <f>(F569+(F570*0.05))*1.3</f>
        <v>2.9536000000000002</v>
      </c>
      <c r="G571" s="124"/>
      <c r="H571" s="365">
        <f t="shared" ref="H571:H576" si="134">TRUNC((G571*(1+$I$12)),2)</f>
        <v>0</v>
      </c>
      <c r="I571" s="117">
        <f t="shared" ref="I571:I576" si="135">ROUND((F571*H571),2)</f>
        <v>0</v>
      </c>
      <c r="J571" s="231" t="e">
        <f t="shared" si="133"/>
        <v>#DIV/0!</v>
      </c>
    </row>
    <row r="572" spans="1:11" s="157" customFormat="1" ht="27" outlineLevel="1">
      <c r="A572" s="138" t="s">
        <v>2014</v>
      </c>
      <c r="B572" s="63">
        <v>95875</v>
      </c>
      <c r="C572" s="63" t="s">
        <v>18</v>
      </c>
      <c r="D572" s="65" t="s">
        <v>1898</v>
      </c>
      <c r="E572" s="86" t="s">
        <v>1897</v>
      </c>
      <c r="F572" s="80">
        <f>F571*4</f>
        <v>11.814400000000001</v>
      </c>
      <c r="G572" s="124"/>
      <c r="H572" s="365">
        <f t="shared" si="134"/>
        <v>0</v>
      </c>
      <c r="I572" s="117">
        <f t="shared" si="135"/>
        <v>0</v>
      </c>
      <c r="J572" s="231" t="e">
        <f t="shared" si="133"/>
        <v>#DIV/0!</v>
      </c>
    </row>
    <row r="573" spans="1:11" s="100" customFormat="1" ht="40.5" outlineLevel="1">
      <c r="A573" s="138" t="s">
        <v>2015</v>
      </c>
      <c r="B573" s="63">
        <v>87532</v>
      </c>
      <c r="C573" s="103" t="s">
        <v>18</v>
      </c>
      <c r="D573" s="85" t="s">
        <v>484</v>
      </c>
      <c r="E573" s="86" t="s">
        <v>116</v>
      </c>
      <c r="F573" s="80">
        <v>2</v>
      </c>
      <c r="G573" s="124"/>
      <c r="H573" s="124">
        <f t="shared" si="134"/>
        <v>0</v>
      </c>
      <c r="I573" s="117">
        <f t="shared" si="135"/>
        <v>0</v>
      </c>
      <c r="J573" s="231" t="e">
        <f t="shared" si="133"/>
        <v>#DIV/0!</v>
      </c>
    </row>
    <row r="574" spans="1:11" s="100" customFormat="1" ht="40.5" outlineLevel="1">
      <c r="A574" s="138" t="s">
        <v>2016</v>
      </c>
      <c r="B574" s="63">
        <v>104455</v>
      </c>
      <c r="C574" s="63" t="s">
        <v>18</v>
      </c>
      <c r="D574" s="65" t="s">
        <v>485</v>
      </c>
      <c r="E574" s="66" t="s">
        <v>116</v>
      </c>
      <c r="F574" s="64">
        <v>2</v>
      </c>
      <c r="G574" s="372"/>
      <c r="H574" s="372">
        <f t="shared" si="134"/>
        <v>0</v>
      </c>
      <c r="I574" s="133">
        <f t="shared" si="135"/>
        <v>0</v>
      </c>
      <c r="J574" s="231" t="e">
        <f t="shared" si="133"/>
        <v>#DIV/0!</v>
      </c>
    </row>
    <row r="575" spans="1:11" s="100" customFormat="1" outlineLevel="1">
      <c r="A575" s="138" t="s">
        <v>2017</v>
      </c>
      <c r="B575" s="103" t="s">
        <v>10</v>
      </c>
      <c r="C575" s="103" t="str">
        <f>[1]Composições!I114</f>
        <v>COMP08</v>
      </c>
      <c r="D575" s="65" t="str">
        <f>[1]Composições!B114</f>
        <v>REQUADRO DE PORTAS E JANELAS</v>
      </c>
      <c r="E575" s="66" t="s">
        <v>116</v>
      </c>
      <c r="F575" s="64">
        <f>F570</f>
        <v>5.44</v>
      </c>
      <c r="G575" s="372"/>
      <c r="H575" s="121">
        <f t="shared" ref="H575" si="136">TRUNC((G575*(1+$I$12)),2)</f>
        <v>0</v>
      </c>
      <c r="I575" s="133">
        <f t="shared" ref="I575" si="137">ROUND((F575*H575),2)</f>
        <v>0</v>
      </c>
      <c r="J575" s="371" t="e">
        <f t="shared" si="133"/>
        <v>#DIV/0!</v>
      </c>
    </row>
    <row r="576" spans="1:11" s="100" customFormat="1" ht="30.75" customHeight="1" outlineLevel="1">
      <c r="A576" s="138" t="s">
        <v>2019</v>
      </c>
      <c r="B576" s="103">
        <v>94559</v>
      </c>
      <c r="C576" s="103" t="s">
        <v>18</v>
      </c>
      <c r="D576" s="65" t="s">
        <v>981</v>
      </c>
      <c r="E576" s="66" t="s">
        <v>116</v>
      </c>
      <c r="F576" s="64">
        <v>0.36</v>
      </c>
      <c r="G576" s="372"/>
      <c r="H576" s="121">
        <f t="shared" si="134"/>
        <v>0</v>
      </c>
      <c r="I576" s="133">
        <f t="shared" si="135"/>
        <v>0</v>
      </c>
      <c r="J576" s="364" t="e">
        <f t="shared" si="133"/>
        <v>#DIV/0!</v>
      </c>
    </row>
    <row r="577" spans="1:11" s="157" customFormat="1" ht="40.5" outlineLevel="1">
      <c r="A577" s="138" t="s">
        <v>2035</v>
      </c>
      <c r="B577" s="5">
        <v>94562</v>
      </c>
      <c r="C577" s="5" t="s">
        <v>18</v>
      </c>
      <c r="D577" s="106" t="s">
        <v>2034</v>
      </c>
      <c r="E577" s="66" t="s">
        <v>116</v>
      </c>
      <c r="F577" s="64">
        <v>5.08</v>
      </c>
      <c r="G577" s="145"/>
      <c r="H577" s="127">
        <f t="shared" ref="H577" si="138">TRUNC((G577*(1+$I$12)),2)</f>
        <v>0</v>
      </c>
      <c r="I577" s="117">
        <f t="shared" ref="I577" si="139">ROUND((F577*H577),2)</f>
        <v>0</v>
      </c>
      <c r="J577" s="364" t="e">
        <f t="shared" si="133"/>
        <v>#DIV/0!</v>
      </c>
    </row>
    <row r="578" spans="1:11" s="157" customFormat="1" ht="27" outlineLevel="1">
      <c r="A578" s="138" t="s">
        <v>2036</v>
      </c>
      <c r="B578" s="5">
        <v>102162</v>
      </c>
      <c r="C578" s="5" t="s">
        <v>18</v>
      </c>
      <c r="D578" s="106" t="s">
        <v>2018</v>
      </c>
      <c r="E578" s="66" t="s">
        <v>116</v>
      </c>
      <c r="F578" s="64">
        <f>F576+F577</f>
        <v>5.44</v>
      </c>
      <c r="G578" s="365"/>
      <c r="H578" s="117">
        <f t="shared" ref="H578" si="140">TRUNC((G578*(1+$I$12)),2)</f>
        <v>0</v>
      </c>
      <c r="I578" s="117">
        <f t="shared" ref="I578" si="141">ROUND((F578*H578),2)</f>
        <v>0</v>
      </c>
      <c r="J578" s="364" t="e">
        <f t="shared" si="133"/>
        <v>#DIV/0!</v>
      </c>
    </row>
    <row r="579" spans="1:11" s="100" customFormat="1">
      <c r="A579" s="378" t="s">
        <v>2028</v>
      </c>
      <c r="B579" s="378"/>
      <c r="C579" s="378"/>
      <c r="D579" s="378"/>
      <c r="E579" s="378"/>
      <c r="F579" s="378"/>
      <c r="G579" s="378"/>
      <c r="H579" s="378"/>
      <c r="I579" s="177">
        <f>SUM(I569:I578)</f>
        <v>0</v>
      </c>
      <c r="J579" s="144" t="e">
        <f>SUM(J569:J578)</f>
        <v>#DIV/0!</v>
      </c>
      <c r="K579" s="373"/>
    </row>
    <row r="580" spans="1:11" ht="15.95" customHeight="1">
      <c r="A580" s="61" t="s">
        <v>2000</v>
      </c>
      <c r="B580" s="234"/>
      <c r="C580" s="96"/>
      <c r="D580" s="143" t="s">
        <v>2021</v>
      </c>
      <c r="E580" s="361"/>
      <c r="F580" s="362"/>
      <c r="G580" s="362"/>
      <c r="H580" s="362"/>
      <c r="I580" s="362"/>
      <c r="J580" s="363"/>
    </row>
    <row r="581" spans="1:11" ht="15.95" customHeight="1" outlineLevel="1">
      <c r="A581" s="103" t="s">
        <v>2022</v>
      </c>
      <c r="B581" s="63" t="s">
        <v>2026</v>
      </c>
      <c r="C581" s="63" t="s">
        <v>9</v>
      </c>
      <c r="D581" s="65" t="s">
        <v>2025</v>
      </c>
      <c r="E581" s="66" t="s">
        <v>115</v>
      </c>
      <c r="F581" s="64">
        <v>10</v>
      </c>
      <c r="G581" s="137" t="s">
        <v>10</v>
      </c>
      <c r="H581" s="365"/>
      <c r="I581" s="365">
        <f t="shared" ref="I581" si="142">ROUND((F581*H581),2)</f>
        <v>0</v>
      </c>
      <c r="J581" s="81" t="e">
        <f>(I581/$I$1421)</f>
        <v>#DIV/0!</v>
      </c>
    </row>
    <row r="582" spans="1:11" s="157" customFormat="1" outlineLevel="1">
      <c r="A582" s="103" t="s">
        <v>2023</v>
      </c>
      <c r="B582" s="63">
        <v>88497</v>
      </c>
      <c r="C582" s="63" t="s">
        <v>18</v>
      </c>
      <c r="D582" s="65" t="s">
        <v>2033</v>
      </c>
      <c r="E582" s="66" t="s">
        <v>116</v>
      </c>
      <c r="F582" s="64">
        <v>78.239999999999995</v>
      </c>
      <c r="G582" s="137"/>
      <c r="H582" s="344">
        <f t="shared" ref="H582:H583" si="143">TRUNC((G582*(1+$I$12)),2)</f>
        <v>0</v>
      </c>
      <c r="I582" s="344">
        <f t="shared" ref="I582:I583" si="144">ROUND((F582*H582),2)</f>
        <v>0</v>
      </c>
      <c r="J582" s="81" t="e">
        <f>(I582/$I$1421)</f>
        <v>#DIV/0!</v>
      </c>
    </row>
    <row r="583" spans="1:11" s="157" customFormat="1" ht="27" outlineLevel="1">
      <c r="A583" s="103" t="s">
        <v>2024</v>
      </c>
      <c r="B583" s="63">
        <v>88489</v>
      </c>
      <c r="C583" s="63" t="s">
        <v>18</v>
      </c>
      <c r="D583" s="65" t="s">
        <v>2031</v>
      </c>
      <c r="E583" s="66" t="s">
        <v>116</v>
      </c>
      <c r="F583" s="64">
        <v>78.239999999999995</v>
      </c>
      <c r="G583" s="137"/>
      <c r="H583" s="344">
        <f t="shared" si="143"/>
        <v>0</v>
      </c>
      <c r="I583" s="344">
        <f t="shared" si="144"/>
        <v>0</v>
      </c>
      <c r="J583" s="81" t="e">
        <f>(I583/$I$1421)</f>
        <v>#DIV/0!</v>
      </c>
    </row>
    <row r="584" spans="1:11" s="100" customFormat="1" ht="27" outlineLevel="1">
      <c r="A584" s="103" t="s">
        <v>2027</v>
      </c>
      <c r="B584" s="63">
        <v>88489</v>
      </c>
      <c r="C584" s="63" t="s">
        <v>18</v>
      </c>
      <c r="D584" s="65" t="s">
        <v>2032</v>
      </c>
      <c r="E584" s="66" t="s">
        <v>116</v>
      </c>
      <c r="F584" s="64">
        <v>157.69</v>
      </c>
      <c r="G584" s="137"/>
      <c r="H584" s="365">
        <f t="shared" ref="H584" si="145">TRUNC((G584*(1+$I$12)),2)</f>
        <v>0</v>
      </c>
      <c r="I584" s="365">
        <f t="shared" ref="I584" si="146">ROUND((F584*H584),2)</f>
        <v>0</v>
      </c>
      <c r="J584" s="81" t="e">
        <f>(I584/$I$1421)</f>
        <v>#DIV/0!</v>
      </c>
    </row>
    <row r="585" spans="1:11" s="100" customFormat="1">
      <c r="A585" s="378" t="s">
        <v>2029</v>
      </c>
      <c r="B585" s="378"/>
      <c r="C585" s="378"/>
      <c r="D585" s="378"/>
      <c r="E585" s="378"/>
      <c r="F585" s="378"/>
      <c r="G585" s="378"/>
      <c r="H585" s="378"/>
      <c r="I585" s="177">
        <f>SUM(I581:I584)</f>
        <v>0</v>
      </c>
      <c r="J585" s="144" t="e">
        <f>SUM(J581:J584)</f>
        <v>#DIV/0!</v>
      </c>
      <c r="K585" s="373"/>
    </row>
    <row r="586" spans="1:11" s="100" customFormat="1">
      <c r="A586" s="378" t="s">
        <v>2030</v>
      </c>
      <c r="B586" s="378"/>
      <c r="C586" s="378"/>
      <c r="D586" s="378"/>
      <c r="E586" s="378"/>
      <c r="F586" s="378"/>
      <c r="G586" s="378"/>
      <c r="H586" s="378"/>
      <c r="I586" s="177">
        <f>I567+I579+I585</f>
        <v>0</v>
      </c>
      <c r="J586" s="144" t="e">
        <f>J567+J579+J585</f>
        <v>#DIV/0!</v>
      </c>
      <c r="K586" s="373"/>
    </row>
    <row r="587" spans="1:11" s="100" customFormat="1">
      <c r="A587" s="378" t="s">
        <v>1300</v>
      </c>
      <c r="B587" s="378"/>
      <c r="C587" s="378"/>
      <c r="D587" s="378"/>
      <c r="E587" s="378"/>
      <c r="F587" s="378"/>
      <c r="G587" s="378"/>
      <c r="H587" s="378"/>
      <c r="I587" s="175">
        <f>I445+I474+I497+I507+I522+I531+I541+I551+I586+I511</f>
        <v>0</v>
      </c>
      <c r="J587" s="144" t="e">
        <f>J586+J551+J541+J531+J522+J507+J497+J474+J445+J511</f>
        <v>#DIV/0!</v>
      </c>
    </row>
    <row r="588" spans="1:11" ht="16.5" customHeight="1">
      <c r="A588" s="374" t="s">
        <v>15</v>
      </c>
      <c r="B588" s="409"/>
      <c r="C588" s="409"/>
      <c r="D588" s="375" t="s">
        <v>139</v>
      </c>
      <c r="E588" s="410"/>
      <c r="F588" s="410"/>
      <c r="G588" s="410"/>
      <c r="H588" s="410"/>
      <c r="I588" s="410"/>
      <c r="J588" s="411"/>
    </row>
    <row r="589" spans="1:11" ht="15" customHeight="1">
      <c r="A589" s="61" t="s">
        <v>800</v>
      </c>
      <c r="B589" s="381"/>
      <c r="C589" s="381"/>
      <c r="D589" s="107" t="s">
        <v>157</v>
      </c>
      <c r="E589" s="382"/>
      <c r="F589" s="382"/>
      <c r="G589" s="382"/>
      <c r="H589" s="382"/>
      <c r="I589" s="382"/>
      <c r="J589" s="382"/>
    </row>
    <row r="590" spans="1:11" s="100" customFormat="1" ht="15.95" customHeight="1" outlineLevel="1">
      <c r="A590" s="138" t="s">
        <v>804</v>
      </c>
      <c r="B590" s="5">
        <v>97644</v>
      </c>
      <c r="C590" s="5" t="s">
        <v>18</v>
      </c>
      <c r="D590" s="106" t="s">
        <v>463</v>
      </c>
      <c r="E590" s="109" t="s">
        <v>116</v>
      </c>
      <c r="F590" s="64">
        <f>2.1*0.9</f>
        <v>1.8900000000000001</v>
      </c>
      <c r="G590" s="116"/>
      <c r="H590" s="244">
        <f t="shared" ref="H590:H595" si="147">TRUNC((G590*(1+$I$12)),2)</f>
        <v>0</v>
      </c>
      <c r="I590" s="117">
        <f>ROUND((F590*H590),2)</f>
        <v>0</v>
      </c>
      <c r="J590" s="246" t="e">
        <f t="shared" ref="J590:J616" si="148">(I590/$I$1421)</f>
        <v>#DIV/0!</v>
      </c>
    </row>
    <row r="591" spans="1:11" s="100" customFormat="1" ht="27" outlineLevel="1">
      <c r="A591" s="138" t="s">
        <v>1811</v>
      </c>
      <c r="B591" s="5">
        <v>97640</v>
      </c>
      <c r="C591" s="5" t="s">
        <v>18</v>
      </c>
      <c r="D591" s="106" t="s">
        <v>1797</v>
      </c>
      <c r="E591" s="109" t="s">
        <v>116</v>
      </c>
      <c r="F591" s="64">
        <v>51.1</v>
      </c>
      <c r="G591" s="137"/>
      <c r="H591" s="244">
        <f t="shared" si="147"/>
        <v>0</v>
      </c>
      <c r="I591" s="117">
        <f t="shared" ref="I591:I615" si="149">ROUND((F591*H591),2)</f>
        <v>0</v>
      </c>
      <c r="J591" s="246" t="e">
        <f t="shared" si="148"/>
        <v>#DIV/0!</v>
      </c>
    </row>
    <row r="592" spans="1:11" s="100" customFormat="1" ht="15.95" customHeight="1" outlineLevel="1">
      <c r="A592" s="138" t="s">
        <v>805</v>
      </c>
      <c r="B592" s="63" t="s">
        <v>135</v>
      </c>
      <c r="C592" s="63" t="s">
        <v>7</v>
      </c>
      <c r="D592" s="65" t="s">
        <v>383</v>
      </c>
      <c r="E592" s="66" t="s">
        <v>115</v>
      </c>
      <c r="F592" s="64">
        <v>54.45</v>
      </c>
      <c r="G592" s="339"/>
      <c r="H592" s="337">
        <f t="shared" si="147"/>
        <v>0</v>
      </c>
      <c r="I592" s="117">
        <f t="shared" si="149"/>
        <v>0</v>
      </c>
      <c r="J592" s="246" t="e">
        <f t="shared" si="148"/>
        <v>#DIV/0!</v>
      </c>
    </row>
    <row r="593" spans="1:11" s="100" customFormat="1" ht="27" outlineLevel="1">
      <c r="A593" s="138" t="s">
        <v>806</v>
      </c>
      <c r="B593" s="63">
        <v>97660</v>
      </c>
      <c r="C593" s="63" t="s">
        <v>18</v>
      </c>
      <c r="D593" s="65" t="s">
        <v>1798</v>
      </c>
      <c r="E593" s="66" t="s">
        <v>221</v>
      </c>
      <c r="F593" s="64">
        <v>3</v>
      </c>
      <c r="G593" s="339"/>
      <c r="H593" s="337">
        <f t="shared" si="147"/>
        <v>0</v>
      </c>
      <c r="I593" s="117">
        <f t="shared" si="149"/>
        <v>0</v>
      </c>
      <c r="J593" s="246" t="e">
        <f t="shared" si="148"/>
        <v>#DIV/0!</v>
      </c>
    </row>
    <row r="594" spans="1:11" s="100" customFormat="1" ht="15.75" customHeight="1" outlineLevel="1">
      <c r="A594" s="138" t="s">
        <v>807</v>
      </c>
      <c r="B594" s="63">
        <v>97665</v>
      </c>
      <c r="C594" s="63" t="s">
        <v>18</v>
      </c>
      <c r="D594" s="65" t="s">
        <v>1799</v>
      </c>
      <c r="E594" s="66" t="s">
        <v>221</v>
      </c>
      <c r="F594" s="64">
        <v>4</v>
      </c>
      <c r="G594" s="339"/>
      <c r="H594" s="337">
        <f t="shared" si="147"/>
        <v>0</v>
      </c>
      <c r="I594" s="117">
        <f t="shared" si="149"/>
        <v>0</v>
      </c>
      <c r="J594" s="246" t="e">
        <f t="shared" si="148"/>
        <v>#DIV/0!</v>
      </c>
    </row>
    <row r="595" spans="1:11" s="100" customFormat="1" ht="15.95" customHeight="1" outlineLevel="1">
      <c r="A595" s="138" t="s">
        <v>808</v>
      </c>
      <c r="B595" s="63" t="s">
        <v>125</v>
      </c>
      <c r="C595" s="63" t="s">
        <v>7</v>
      </c>
      <c r="D595" s="65" t="s">
        <v>592</v>
      </c>
      <c r="E595" s="68" t="s">
        <v>116</v>
      </c>
      <c r="F595" s="64">
        <v>6.89</v>
      </c>
      <c r="G595" s="339"/>
      <c r="H595" s="337">
        <f t="shared" si="147"/>
        <v>0</v>
      </c>
      <c r="I595" s="117">
        <f t="shared" si="149"/>
        <v>0</v>
      </c>
      <c r="J595" s="246" t="e">
        <f t="shared" si="148"/>
        <v>#DIV/0!</v>
      </c>
    </row>
    <row r="596" spans="1:11" s="100" customFormat="1" ht="15" customHeight="1" outlineLevel="1">
      <c r="A596" s="138" t="s">
        <v>809</v>
      </c>
      <c r="B596" s="63" t="s">
        <v>32</v>
      </c>
      <c r="C596" s="63" t="s">
        <v>9</v>
      </c>
      <c r="D596" s="65" t="s">
        <v>598</v>
      </c>
      <c r="E596" s="68" t="s">
        <v>218</v>
      </c>
      <c r="F596" s="64">
        <v>5.12</v>
      </c>
      <c r="G596" s="139" t="s">
        <v>10</v>
      </c>
      <c r="H596" s="124"/>
      <c r="I596" s="117">
        <f t="shared" si="149"/>
        <v>0</v>
      </c>
      <c r="J596" s="246" t="e">
        <f t="shared" si="148"/>
        <v>#DIV/0!</v>
      </c>
    </row>
    <row r="597" spans="1:11" s="100" customFormat="1" ht="32.25" customHeight="1" outlineLevel="1">
      <c r="A597" s="138" t="s">
        <v>810</v>
      </c>
      <c r="B597" s="63">
        <v>100983</v>
      </c>
      <c r="C597" s="63" t="s">
        <v>18</v>
      </c>
      <c r="D597" s="65" t="s">
        <v>1896</v>
      </c>
      <c r="E597" s="86" t="s">
        <v>218</v>
      </c>
      <c r="F597" s="80">
        <f>(0.1+0.04+1.55+0.01+0.04+0.5+0.35+0.5+5.12)*1.3</f>
        <v>10.673000000000002</v>
      </c>
      <c r="G597" s="124"/>
      <c r="H597" s="350">
        <f t="shared" ref="H597:H599" si="150">TRUNC((G597*(1+$I$12)),2)</f>
        <v>0</v>
      </c>
      <c r="I597" s="117">
        <f t="shared" si="149"/>
        <v>0</v>
      </c>
      <c r="J597" s="231" t="e">
        <f t="shared" si="148"/>
        <v>#DIV/0!</v>
      </c>
    </row>
    <row r="598" spans="1:11" s="100" customFormat="1" ht="27" outlineLevel="1">
      <c r="A598" s="138" t="s">
        <v>811</v>
      </c>
      <c r="B598" s="63">
        <v>95875</v>
      </c>
      <c r="C598" s="63" t="s">
        <v>18</v>
      </c>
      <c r="D598" s="65" t="s">
        <v>1898</v>
      </c>
      <c r="E598" s="86" t="s">
        <v>1897</v>
      </c>
      <c r="F598" s="80">
        <f>F597*4</f>
        <v>42.692000000000007</v>
      </c>
      <c r="G598" s="124"/>
      <c r="H598" s="350">
        <f t="shared" si="150"/>
        <v>0</v>
      </c>
      <c r="I598" s="117">
        <f t="shared" si="149"/>
        <v>0</v>
      </c>
      <c r="J598" s="231" t="e">
        <f t="shared" si="148"/>
        <v>#DIV/0!</v>
      </c>
    </row>
    <row r="599" spans="1:11" s="157" customFormat="1" ht="27" outlineLevel="1">
      <c r="A599" s="138" t="s">
        <v>812</v>
      </c>
      <c r="B599" s="63">
        <v>97084</v>
      </c>
      <c r="C599" s="63" t="s">
        <v>18</v>
      </c>
      <c r="D599" s="65" t="s">
        <v>791</v>
      </c>
      <c r="E599" s="68" t="s">
        <v>116</v>
      </c>
      <c r="F599" s="64">
        <v>51.24</v>
      </c>
      <c r="G599" s="350"/>
      <c r="H599" s="337">
        <f t="shared" si="150"/>
        <v>0</v>
      </c>
      <c r="I599" s="117">
        <f t="shared" si="149"/>
        <v>0</v>
      </c>
      <c r="J599" s="246" t="e">
        <f t="shared" si="148"/>
        <v>#DIV/0!</v>
      </c>
    </row>
    <row r="600" spans="1:11" s="100" customFormat="1" ht="27" outlineLevel="1">
      <c r="A600" s="138" t="s">
        <v>813</v>
      </c>
      <c r="B600" s="128">
        <v>96622</v>
      </c>
      <c r="C600" s="128" t="s">
        <v>18</v>
      </c>
      <c r="D600" s="82" t="s">
        <v>1895</v>
      </c>
      <c r="E600" s="88" t="s">
        <v>218</v>
      </c>
      <c r="F600" s="75">
        <f>F599*0.05</f>
        <v>2.5620000000000003</v>
      </c>
      <c r="G600" s="145"/>
      <c r="H600" s="337">
        <f>TRUNC((G600*(1+$I$12)),2)</f>
        <v>0</v>
      </c>
      <c r="I600" s="117">
        <f t="shared" si="149"/>
        <v>0</v>
      </c>
      <c r="J600" s="246" t="e">
        <f t="shared" si="148"/>
        <v>#DIV/0!</v>
      </c>
    </row>
    <row r="601" spans="1:11" s="100" customFormat="1" ht="27" outlineLevel="1">
      <c r="A601" s="138" t="s">
        <v>814</v>
      </c>
      <c r="B601" s="128">
        <v>95241</v>
      </c>
      <c r="C601" s="128" t="s">
        <v>18</v>
      </c>
      <c r="D601" s="82" t="s">
        <v>1894</v>
      </c>
      <c r="E601" s="88" t="s">
        <v>116</v>
      </c>
      <c r="F601" s="75">
        <f>F599</f>
        <v>51.24</v>
      </c>
      <c r="G601" s="145"/>
      <c r="H601" s="337">
        <f>TRUNC((G601*(1+$I$12)),2)</f>
        <v>0</v>
      </c>
      <c r="I601" s="117">
        <f t="shared" si="149"/>
        <v>0</v>
      </c>
      <c r="J601" s="246" t="e">
        <f t="shared" si="148"/>
        <v>#DIV/0!</v>
      </c>
    </row>
    <row r="602" spans="1:11" s="100" customFormat="1" ht="40.5" outlineLevel="1">
      <c r="A602" s="138" t="s">
        <v>815</v>
      </c>
      <c r="B602" s="63">
        <v>104162</v>
      </c>
      <c r="C602" s="63" t="s">
        <v>18</v>
      </c>
      <c r="D602" s="65" t="s">
        <v>387</v>
      </c>
      <c r="E602" s="66" t="s">
        <v>116</v>
      </c>
      <c r="F602" s="64">
        <v>51.24</v>
      </c>
      <c r="G602" s="339"/>
      <c r="H602" s="337">
        <f t="shared" ref="H602:H610" si="151">TRUNC((G602*(1+$I$12)),2)</f>
        <v>0</v>
      </c>
      <c r="I602" s="117">
        <f t="shared" si="149"/>
        <v>0</v>
      </c>
      <c r="J602" s="246" t="e">
        <f t="shared" si="148"/>
        <v>#DIV/0!</v>
      </c>
      <c r="K602" s="100">
        <f>((2*2.1*0.15)+(0.9*0.15))</f>
        <v>0.76500000000000001</v>
      </c>
    </row>
    <row r="603" spans="1:11" s="100" customFormat="1" ht="15.95" customHeight="1" outlineLevel="1">
      <c r="A603" s="138" t="s">
        <v>816</v>
      </c>
      <c r="B603" s="63">
        <v>101741</v>
      </c>
      <c r="C603" s="63" t="s">
        <v>18</v>
      </c>
      <c r="D603" s="65" t="s">
        <v>388</v>
      </c>
      <c r="E603" s="66" t="s">
        <v>115</v>
      </c>
      <c r="F603" s="64">
        <v>27.2</v>
      </c>
      <c r="G603" s="339"/>
      <c r="H603" s="337">
        <f t="shared" si="151"/>
        <v>0</v>
      </c>
      <c r="I603" s="117">
        <f t="shared" si="149"/>
        <v>0</v>
      </c>
      <c r="J603" s="246" t="e">
        <f t="shared" si="148"/>
        <v>#DIV/0!</v>
      </c>
      <c r="K603" s="100">
        <f>(((13.75*2.76))-((0.9*2.1)+(3.4*1.5)))</f>
        <v>30.959999999999994</v>
      </c>
    </row>
    <row r="604" spans="1:11" s="100" customFormat="1" ht="27" outlineLevel="1">
      <c r="A604" s="138" t="s">
        <v>817</v>
      </c>
      <c r="B604" s="63">
        <v>96116</v>
      </c>
      <c r="C604" s="63" t="s">
        <v>18</v>
      </c>
      <c r="D604" s="65" t="s">
        <v>593</v>
      </c>
      <c r="E604" s="66" t="s">
        <v>116</v>
      </c>
      <c r="F604" s="64">
        <v>51.1</v>
      </c>
      <c r="G604" s="339"/>
      <c r="H604" s="337">
        <f t="shared" si="151"/>
        <v>0</v>
      </c>
      <c r="I604" s="117">
        <f t="shared" si="149"/>
        <v>0</v>
      </c>
      <c r="J604" s="246" t="e">
        <f t="shared" si="148"/>
        <v>#DIV/0!</v>
      </c>
    </row>
    <row r="605" spans="1:11" s="100" customFormat="1" ht="19.5" customHeight="1" outlineLevel="1">
      <c r="A605" s="138" t="s">
        <v>818</v>
      </c>
      <c r="B605" s="63" t="s">
        <v>10</v>
      </c>
      <c r="C605" s="63" t="str">
        <f>[1]Composições!$I$114</f>
        <v>COMP08</v>
      </c>
      <c r="D605" s="65" t="str">
        <f>[1]Composições!$B$114</f>
        <v>REQUADRO DE PORTAS E JANELAS</v>
      </c>
      <c r="E605" s="66" t="s">
        <v>116</v>
      </c>
      <c r="F605" s="64">
        <v>0.77</v>
      </c>
      <c r="G605" s="339"/>
      <c r="H605" s="337">
        <f t="shared" si="151"/>
        <v>0</v>
      </c>
      <c r="I605" s="117">
        <f t="shared" si="149"/>
        <v>0</v>
      </c>
      <c r="J605" s="246" t="e">
        <f t="shared" si="148"/>
        <v>#DIV/0!</v>
      </c>
    </row>
    <row r="606" spans="1:11" s="100" customFormat="1" ht="40.5" outlineLevel="1">
      <c r="A606" s="138" t="s">
        <v>819</v>
      </c>
      <c r="B606" s="63">
        <v>90844</v>
      </c>
      <c r="C606" s="63" t="s">
        <v>18</v>
      </c>
      <c r="D606" s="65" t="s">
        <v>392</v>
      </c>
      <c r="E606" s="66" t="s">
        <v>221</v>
      </c>
      <c r="F606" s="64">
        <v>1</v>
      </c>
      <c r="G606" s="245"/>
      <c r="H606" s="244">
        <f t="shared" si="151"/>
        <v>0</v>
      </c>
      <c r="I606" s="117">
        <f t="shared" si="149"/>
        <v>0</v>
      </c>
      <c r="J606" s="246" t="e">
        <f t="shared" si="148"/>
        <v>#DIV/0!</v>
      </c>
      <c r="K606" s="100">
        <f>((28.1*1)-(0.9*1))</f>
        <v>27.200000000000003</v>
      </c>
    </row>
    <row r="607" spans="1:11" s="100" customFormat="1" ht="15.95" customHeight="1" outlineLevel="1">
      <c r="A607" s="138" t="s">
        <v>820</v>
      </c>
      <c r="B607" s="63">
        <v>88495</v>
      </c>
      <c r="C607" s="63" t="s">
        <v>18</v>
      </c>
      <c r="D607" s="65" t="s">
        <v>393</v>
      </c>
      <c r="E607" s="66" t="s">
        <v>116</v>
      </c>
      <c r="F607" s="64">
        <v>37.43</v>
      </c>
      <c r="G607" s="137"/>
      <c r="H607" s="117">
        <f t="shared" si="151"/>
        <v>0</v>
      </c>
      <c r="I607" s="117">
        <f t="shared" si="149"/>
        <v>0</v>
      </c>
      <c r="J607" s="246" t="e">
        <f t="shared" si="148"/>
        <v>#DIV/0!</v>
      </c>
    </row>
    <row r="608" spans="1:11" s="100" customFormat="1" outlineLevel="1">
      <c r="A608" s="138" t="s">
        <v>821</v>
      </c>
      <c r="B608" s="63">
        <v>88489</v>
      </c>
      <c r="C608" s="63" t="s">
        <v>18</v>
      </c>
      <c r="D608" s="65" t="s">
        <v>36</v>
      </c>
      <c r="E608" s="66" t="s">
        <v>116</v>
      </c>
      <c r="F608" s="64">
        <f>F607</f>
        <v>37.43</v>
      </c>
      <c r="G608" s="137"/>
      <c r="H608" s="117">
        <f t="shared" si="151"/>
        <v>0</v>
      </c>
      <c r="I608" s="117">
        <f t="shared" si="149"/>
        <v>0</v>
      </c>
      <c r="J608" s="246" t="e">
        <f t="shared" si="148"/>
        <v>#DIV/0!</v>
      </c>
    </row>
    <row r="609" spans="1:12" s="100" customFormat="1" ht="15.95" customHeight="1" outlineLevel="1">
      <c r="A609" s="138" t="s">
        <v>822</v>
      </c>
      <c r="B609" s="63" t="s">
        <v>256</v>
      </c>
      <c r="C609" s="63" t="s">
        <v>7</v>
      </c>
      <c r="D609" s="65" t="s">
        <v>596</v>
      </c>
      <c r="E609" s="66" t="s">
        <v>116</v>
      </c>
      <c r="F609" s="64">
        <v>27.7</v>
      </c>
      <c r="G609" s="137"/>
      <c r="H609" s="117">
        <f t="shared" si="151"/>
        <v>0</v>
      </c>
      <c r="I609" s="117">
        <f t="shared" si="149"/>
        <v>0</v>
      </c>
      <c r="J609" s="246" t="e">
        <f t="shared" si="148"/>
        <v>#DIV/0!</v>
      </c>
      <c r="K609" s="135" t="e">
        <f>I596+I601+I602+I603+#REF!+#REF!</f>
        <v>#REF!</v>
      </c>
      <c r="L609" s="135"/>
    </row>
    <row r="610" spans="1:12" s="100" customFormat="1" ht="15.95" customHeight="1" outlineLevel="1">
      <c r="A610" s="138" t="s">
        <v>823</v>
      </c>
      <c r="B610" s="63" t="s">
        <v>595</v>
      </c>
      <c r="C610" s="63" t="s">
        <v>7</v>
      </c>
      <c r="D610" s="65" t="s">
        <v>594</v>
      </c>
      <c r="E610" s="66" t="s">
        <v>116</v>
      </c>
      <c r="F610" s="64">
        <v>6.89</v>
      </c>
      <c r="G610" s="245"/>
      <c r="H610" s="117">
        <f t="shared" si="151"/>
        <v>0</v>
      </c>
      <c r="I610" s="117">
        <f t="shared" si="149"/>
        <v>0</v>
      </c>
      <c r="J610" s="246" t="e">
        <f t="shared" si="148"/>
        <v>#DIV/0!</v>
      </c>
      <c r="K610" s="135" t="e">
        <f>K609*10</f>
        <v>#REF!</v>
      </c>
      <c r="L610" s="135"/>
    </row>
    <row r="611" spans="1:12" s="100" customFormat="1" outlineLevel="1">
      <c r="A611" s="138" t="s">
        <v>824</v>
      </c>
      <c r="B611" s="63" t="s">
        <v>131</v>
      </c>
      <c r="C611" s="63" t="s">
        <v>9</v>
      </c>
      <c r="D611" s="65" t="s">
        <v>602</v>
      </c>
      <c r="E611" s="66" t="s">
        <v>115</v>
      </c>
      <c r="F611" s="64">
        <v>5.3</v>
      </c>
      <c r="G611" s="147" t="s">
        <v>10</v>
      </c>
      <c r="H611" s="117"/>
      <c r="I611" s="117">
        <f t="shared" si="149"/>
        <v>0</v>
      </c>
      <c r="J611" s="246" t="e">
        <f t="shared" si="148"/>
        <v>#DIV/0!</v>
      </c>
      <c r="K611" s="135"/>
      <c r="L611" s="135"/>
    </row>
    <row r="612" spans="1:12" s="100" customFormat="1" ht="27" outlineLevel="1">
      <c r="A612" s="138" t="s">
        <v>825</v>
      </c>
      <c r="B612" s="63">
        <v>102219</v>
      </c>
      <c r="C612" s="63" t="s">
        <v>18</v>
      </c>
      <c r="D612" s="65" t="s">
        <v>600</v>
      </c>
      <c r="E612" s="66" t="s">
        <v>116</v>
      </c>
      <c r="F612" s="64">
        <v>5.67</v>
      </c>
      <c r="G612" s="137"/>
      <c r="H612" s="117">
        <f t="shared" ref="H612" si="152">TRUNC((G612*(1+$I$12)),2)</f>
        <v>0</v>
      </c>
      <c r="I612" s="117">
        <f t="shared" si="149"/>
        <v>0</v>
      </c>
      <c r="J612" s="246" t="e">
        <f t="shared" si="148"/>
        <v>#DIV/0!</v>
      </c>
    </row>
    <row r="613" spans="1:12" s="100" customFormat="1" ht="15.75" customHeight="1" outlineLevel="1">
      <c r="A613" s="138" t="s">
        <v>826</v>
      </c>
      <c r="B613" s="63" t="s">
        <v>11</v>
      </c>
      <c r="C613" s="63" t="s">
        <v>9</v>
      </c>
      <c r="D613" s="65" t="s">
        <v>398</v>
      </c>
      <c r="E613" s="66" t="s">
        <v>116</v>
      </c>
      <c r="F613" s="64">
        <v>10.199999999999999</v>
      </c>
      <c r="G613" s="245" t="s">
        <v>10</v>
      </c>
      <c r="H613" s="121"/>
      <c r="I613" s="117">
        <f t="shared" si="149"/>
        <v>0</v>
      </c>
      <c r="J613" s="246" t="e">
        <f t="shared" si="148"/>
        <v>#DIV/0!</v>
      </c>
    </row>
    <row r="614" spans="1:12" s="100" customFormat="1" ht="15.75" customHeight="1" outlineLevel="1">
      <c r="A614" s="138" t="s">
        <v>827</v>
      </c>
      <c r="B614" s="63" t="s">
        <v>597</v>
      </c>
      <c r="C614" s="63" t="s">
        <v>9</v>
      </c>
      <c r="D614" s="65" t="s">
        <v>601</v>
      </c>
      <c r="E614" s="66" t="s">
        <v>218</v>
      </c>
      <c r="F614" s="64">
        <v>0.19</v>
      </c>
      <c r="G614" s="245" t="s">
        <v>10</v>
      </c>
      <c r="H614" s="121"/>
      <c r="I614" s="117">
        <f t="shared" si="149"/>
        <v>0</v>
      </c>
      <c r="J614" s="246" t="e">
        <f t="shared" si="148"/>
        <v>#DIV/0!</v>
      </c>
    </row>
    <row r="615" spans="1:12" s="100" customFormat="1" ht="27" outlineLevel="1">
      <c r="A615" s="138" t="s">
        <v>927</v>
      </c>
      <c r="B615" s="103">
        <v>102219</v>
      </c>
      <c r="C615" s="103" t="s">
        <v>18</v>
      </c>
      <c r="D615" s="85" t="s">
        <v>599</v>
      </c>
      <c r="E615" s="86" t="s">
        <v>116</v>
      </c>
      <c r="F615" s="80">
        <f>F614/0.03</f>
        <v>6.3333333333333339</v>
      </c>
      <c r="G615" s="139"/>
      <c r="H615" s="125">
        <f t="shared" ref="H615" si="153">TRUNC((G615*(1+$I$12)),2)</f>
        <v>0</v>
      </c>
      <c r="I615" s="117">
        <f t="shared" si="149"/>
        <v>0</v>
      </c>
      <c r="J615" s="246" t="e">
        <f t="shared" si="148"/>
        <v>#DIV/0!</v>
      </c>
    </row>
    <row r="616" spans="1:12" s="100" customFormat="1" ht="15.95" customHeight="1" outlineLevel="1">
      <c r="A616" s="138" t="s">
        <v>1934</v>
      </c>
      <c r="B616" s="63" t="s">
        <v>10</v>
      </c>
      <c r="C616" s="63" t="str">
        <f>[1]Composições!$I$107</f>
        <v>COMP07</v>
      </c>
      <c r="D616" s="65" t="str">
        <f>[1]Composições!$B$107</f>
        <v>INSTALAÇÃO DE VENTILADOR</v>
      </c>
      <c r="E616" s="66" t="s">
        <v>221</v>
      </c>
      <c r="F616" s="64">
        <v>2</v>
      </c>
      <c r="G616" s="137"/>
      <c r="H616" s="337">
        <f>TRUNC((G616*(1+$I$12)),2)</f>
        <v>0</v>
      </c>
      <c r="I616" s="117">
        <f>ROUND((F616*H616),2)</f>
        <v>0</v>
      </c>
      <c r="J616" s="246" t="e">
        <f t="shared" si="148"/>
        <v>#DIV/0!</v>
      </c>
    </row>
    <row r="617" spans="1:12" s="140" customFormat="1">
      <c r="A617" s="378" t="s">
        <v>803</v>
      </c>
      <c r="B617" s="378"/>
      <c r="C617" s="378"/>
      <c r="D617" s="378"/>
      <c r="E617" s="378"/>
      <c r="F617" s="378"/>
      <c r="G617" s="378"/>
      <c r="H617" s="378"/>
      <c r="I617" s="179">
        <f>SUM(I590:I616)</f>
        <v>0</v>
      </c>
      <c r="J617" s="136" t="e">
        <f>SUM(J590:J616)</f>
        <v>#DIV/0!</v>
      </c>
      <c r="K617" s="318" t="e">
        <f>I617/$I$944</f>
        <v>#DIV/0!</v>
      </c>
    </row>
    <row r="618" spans="1:12" ht="15" customHeight="1">
      <c r="A618" s="61" t="s">
        <v>828</v>
      </c>
      <c r="B618" s="381"/>
      <c r="C618" s="381"/>
      <c r="D618" s="107" t="s">
        <v>158</v>
      </c>
      <c r="E618" s="382"/>
      <c r="F618" s="382"/>
      <c r="G618" s="382"/>
      <c r="H618" s="382"/>
      <c r="I618" s="382"/>
      <c r="J618" s="382"/>
    </row>
    <row r="619" spans="1:12" s="104" customFormat="1" ht="15.95" customHeight="1" outlineLevel="1">
      <c r="A619" s="138" t="s">
        <v>829</v>
      </c>
      <c r="B619" s="5">
        <v>97644</v>
      </c>
      <c r="C619" s="5" t="s">
        <v>18</v>
      </c>
      <c r="D619" s="106" t="s">
        <v>463</v>
      </c>
      <c r="E619" s="109" t="s">
        <v>116</v>
      </c>
      <c r="F619" s="64">
        <f>2.1*0.9</f>
        <v>1.8900000000000001</v>
      </c>
      <c r="G619" s="116"/>
      <c r="H619" s="241">
        <f t="shared" ref="H619:H623" si="154">TRUNC((G619*(1+$I$12)),2)</f>
        <v>0</v>
      </c>
      <c r="I619" s="117">
        <f>ROUND((F619*H619),2)</f>
        <v>0</v>
      </c>
      <c r="J619" s="246" t="e">
        <f t="shared" ref="J619:J646" si="155">(I619/$I$1421)</f>
        <v>#DIV/0!</v>
      </c>
    </row>
    <row r="620" spans="1:12" s="100" customFormat="1" ht="27" outlineLevel="1">
      <c r="A620" s="138" t="s">
        <v>1812</v>
      </c>
      <c r="B620" s="5">
        <v>97640</v>
      </c>
      <c r="C620" s="5" t="s">
        <v>18</v>
      </c>
      <c r="D620" s="106" t="s">
        <v>1797</v>
      </c>
      <c r="E620" s="109" t="s">
        <v>116</v>
      </c>
      <c r="F620" s="64">
        <v>49.35</v>
      </c>
      <c r="G620" s="137"/>
      <c r="H620" s="241">
        <f t="shared" si="154"/>
        <v>0</v>
      </c>
      <c r="I620" s="117">
        <f t="shared" ref="I620:I645" si="156">ROUND((F620*H620),2)</f>
        <v>0</v>
      </c>
      <c r="J620" s="246" t="e">
        <f t="shared" si="155"/>
        <v>#DIV/0!</v>
      </c>
    </row>
    <row r="621" spans="1:12" s="100" customFormat="1" ht="15.95" customHeight="1" outlineLevel="1">
      <c r="A621" s="138" t="s">
        <v>830</v>
      </c>
      <c r="B621" s="63" t="s">
        <v>135</v>
      </c>
      <c r="C621" s="63" t="s">
        <v>7</v>
      </c>
      <c r="D621" s="65" t="s">
        <v>383</v>
      </c>
      <c r="E621" s="66" t="s">
        <v>115</v>
      </c>
      <c r="F621" s="64">
        <v>54.45</v>
      </c>
      <c r="G621" s="339"/>
      <c r="H621" s="337">
        <f t="shared" si="154"/>
        <v>0</v>
      </c>
      <c r="I621" s="117">
        <f t="shared" si="156"/>
        <v>0</v>
      </c>
      <c r="J621" s="246" t="e">
        <f t="shared" si="155"/>
        <v>#DIV/0!</v>
      </c>
    </row>
    <row r="622" spans="1:12" s="100" customFormat="1" ht="27" outlineLevel="1">
      <c r="A622" s="138" t="s">
        <v>831</v>
      </c>
      <c r="B622" s="63">
        <v>97660</v>
      </c>
      <c r="C622" s="63" t="s">
        <v>18</v>
      </c>
      <c r="D622" s="65" t="s">
        <v>1798</v>
      </c>
      <c r="E622" s="66" t="s">
        <v>221</v>
      </c>
      <c r="F622" s="64">
        <v>3</v>
      </c>
      <c r="G622" s="339"/>
      <c r="H622" s="337">
        <f t="shared" si="154"/>
        <v>0</v>
      </c>
      <c r="I622" s="117">
        <f t="shared" si="156"/>
        <v>0</v>
      </c>
      <c r="J622" s="246" t="e">
        <f t="shared" si="155"/>
        <v>#DIV/0!</v>
      </c>
    </row>
    <row r="623" spans="1:12" s="100" customFormat="1" ht="15.75" customHeight="1" outlineLevel="1">
      <c r="A623" s="138" t="s">
        <v>832</v>
      </c>
      <c r="B623" s="63">
        <v>97665</v>
      </c>
      <c r="C623" s="63" t="s">
        <v>18</v>
      </c>
      <c r="D623" s="65" t="s">
        <v>1799</v>
      </c>
      <c r="E623" s="66" t="s">
        <v>221</v>
      </c>
      <c r="F623" s="64">
        <v>4</v>
      </c>
      <c r="G623" s="243"/>
      <c r="H623" s="241">
        <f t="shared" si="154"/>
        <v>0</v>
      </c>
      <c r="I623" s="117">
        <f t="shared" si="156"/>
        <v>0</v>
      </c>
      <c r="J623" s="246" t="e">
        <f t="shared" si="155"/>
        <v>#DIV/0!</v>
      </c>
    </row>
    <row r="624" spans="1:12" s="100" customFormat="1" ht="15.75" customHeight="1" outlineLevel="1">
      <c r="A624" s="138" t="s">
        <v>833</v>
      </c>
      <c r="B624" s="63" t="s">
        <v>802</v>
      </c>
      <c r="C624" s="63" t="s">
        <v>9</v>
      </c>
      <c r="D624" s="65" t="s">
        <v>801</v>
      </c>
      <c r="E624" s="109" t="s">
        <v>116</v>
      </c>
      <c r="F624" s="64">
        <v>3</v>
      </c>
      <c r="G624" s="244" t="s">
        <v>10</v>
      </c>
      <c r="H624" s="244"/>
      <c r="I624" s="117">
        <f t="shared" si="156"/>
        <v>0</v>
      </c>
      <c r="J624" s="246" t="e">
        <f t="shared" si="155"/>
        <v>#DIV/0!</v>
      </c>
    </row>
    <row r="625" spans="1:12" s="100" customFormat="1" ht="15.95" customHeight="1" outlineLevel="1">
      <c r="A625" s="138" t="s">
        <v>834</v>
      </c>
      <c r="B625" s="63" t="s">
        <v>125</v>
      </c>
      <c r="C625" s="63" t="s">
        <v>7</v>
      </c>
      <c r="D625" s="65" t="s">
        <v>592</v>
      </c>
      <c r="E625" s="68" t="s">
        <v>116</v>
      </c>
      <c r="F625" s="64">
        <v>6.89</v>
      </c>
      <c r="G625" s="245"/>
      <c r="H625" s="244">
        <f>TRUNC((G625*(1+$I$12)),2)</f>
        <v>0</v>
      </c>
      <c r="I625" s="117">
        <f t="shared" si="156"/>
        <v>0</v>
      </c>
      <c r="J625" s="246" t="e">
        <f t="shared" si="155"/>
        <v>#DIV/0!</v>
      </c>
    </row>
    <row r="626" spans="1:12" s="100" customFormat="1" ht="15.95" customHeight="1" outlineLevel="1">
      <c r="A626" s="138" t="s">
        <v>835</v>
      </c>
      <c r="B626" s="63" t="s">
        <v>32</v>
      </c>
      <c r="C626" s="63" t="s">
        <v>9</v>
      </c>
      <c r="D626" s="65" t="s">
        <v>598</v>
      </c>
      <c r="E626" s="68" t="s">
        <v>218</v>
      </c>
      <c r="F626" s="64">
        <v>4.95</v>
      </c>
      <c r="G626" s="139" t="s">
        <v>10</v>
      </c>
      <c r="H626" s="124"/>
      <c r="I626" s="117">
        <f t="shared" si="156"/>
        <v>0</v>
      </c>
      <c r="J626" s="246" t="e">
        <f t="shared" si="155"/>
        <v>#DIV/0!</v>
      </c>
    </row>
    <row r="627" spans="1:12" s="100" customFormat="1" ht="40.5" outlineLevel="1">
      <c r="A627" s="138" t="s">
        <v>836</v>
      </c>
      <c r="B627" s="63">
        <v>100983</v>
      </c>
      <c r="C627" s="63" t="s">
        <v>18</v>
      </c>
      <c r="D627" s="65" t="s">
        <v>1896</v>
      </c>
      <c r="E627" s="86" t="s">
        <v>218</v>
      </c>
      <c r="F627" s="80">
        <f>(0.1+0.04+1.49+0.01+0.04+0.5+0.35+0.03+0.5+4.95)*1.3</f>
        <v>10.413</v>
      </c>
      <c r="G627" s="124"/>
      <c r="H627" s="350">
        <f t="shared" ref="H627:H628" si="157">TRUNC((G627*(1+$I$12)),2)</f>
        <v>0</v>
      </c>
      <c r="I627" s="117">
        <f t="shared" si="156"/>
        <v>0</v>
      </c>
      <c r="J627" s="231" t="e">
        <f t="shared" si="155"/>
        <v>#DIV/0!</v>
      </c>
    </row>
    <row r="628" spans="1:12" s="100" customFormat="1" ht="27" outlineLevel="1">
      <c r="A628" s="138" t="s">
        <v>837</v>
      </c>
      <c r="B628" s="63">
        <v>95875</v>
      </c>
      <c r="C628" s="63" t="s">
        <v>18</v>
      </c>
      <c r="D628" s="65" t="s">
        <v>1898</v>
      </c>
      <c r="E628" s="86" t="s">
        <v>1897</v>
      </c>
      <c r="F628" s="80">
        <f>F627*4</f>
        <v>41.652000000000001</v>
      </c>
      <c r="G628" s="124"/>
      <c r="H628" s="350">
        <f t="shared" si="157"/>
        <v>0</v>
      </c>
      <c r="I628" s="117">
        <f t="shared" si="156"/>
        <v>0</v>
      </c>
      <c r="J628" s="231" t="e">
        <f t="shared" si="155"/>
        <v>#DIV/0!</v>
      </c>
    </row>
    <row r="629" spans="1:12" s="157" customFormat="1" ht="27" outlineLevel="1">
      <c r="A629" s="138" t="s">
        <v>838</v>
      </c>
      <c r="B629" s="63">
        <v>97084</v>
      </c>
      <c r="C629" s="63" t="s">
        <v>18</v>
      </c>
      <c r="D629" s="65" t="s">
        <v>791</v>
      </c>
      <c r="E629" s="68" t="s">
        <v>116</v>
      </c>
      <c r="F629" s="64">
        <v>49.49</v>
      </c>
      <c r="G629" s="350"/>
      <c r="H629" s="244">
        <f t="shared" ref="H629" si="158">TRUNC((G629*(1+$I$12)),2)</f>
        <v>0</v>
      </c>
      <c r="I629" s="117">
        <f t="shared" si="156"/>
        <v>0</v>
      </c>
      <c r="J629" s="246" t="e">
        <f t="shared" si="155"/>
        <v>#DIV/0!</v>
      </c>
    </row>
    <row r="630" spans="1:12" s="100" customFormat="1" ht="27" outlineLevel="1">
      <c r="A630" s="138" t="s">
        <v>839</v>
      </c>
      <c r="B630" s="128">
        <v>96622</v>
      </c>
      <c r="C630" s="128" t="s">
        <v>18</v>
      </c>
      <c r="D630" s="82" t="s">
        <v>1895</v>
      </c>
      <c r="E630" s="88" t="s">
        <v>218</v>
      </c>
      <c r="F630" s="75">
        <f>F629*0.05</f>
        <v>2.4745000000000004</v>
      </c>
      <c r="G630" s="145"/>
      <c r="H630" s="244">
        <f>TRUNC((G630*(1+$I$12)),2)</f>
        <v>0</v>
      </c>
      <c r="I630" s="117">
        <f t="shared" si="156"/>
        <v>0</v>
      </c>
      <c r="J630" s="246" t="e">
        <f t="shared" si="155"/>
        <v>#DIV/0!</v>
      </c>
    </row>
    <row r="631" spans="1:12" s="100" customFormat="1" ht="27" outlineLevel="1">
      <c r="A631" s="138" t="s">
        <v>840</v>
      </c>
      <c r="B631" s="128">
        <v>95241</v>
      </c>
      <c r="C631" s="128" t="s">
        <v>18</v>
      </c>
      <c r="D631" s="82" t="s">
        <v>1894</v>
      </c>
      <c r="E631" s="88" t="s">
        <v>116</v>
      </c>
      <c r="F631" s="75">
        <f>F629</f>
        <v>49.49</v>
      </c>
      <c r="G631" s="145"/>
      <c r="H631" s="244">
        <f>TRUNC((G631*(1+$I$12)),2)</f>
        <v>0</v>
      </c>
      <c r="I631" s="117">
        <f t="shared" si="156"/>
        <v>0</v>
      </c>
      <c r="J631" s="246" t="e">
        <f t="shared" si="155"/>
        <v>#DIV/0!</v>
      </c>
    </row>
    <row r="632" spans="1:12" s="100" customFormat="1" ht="40.5" outlineLevel="1">
      <c r="A632" s="138" t="s">
        <v>841</v>
      </c>
      <c r="B632" s="63">
        <v>104162</v>
      </c>
      <c r="C632" s="63" t="s">
        <v>18</v>
      </c>
      <c r="D632" s="65" t="s">
        <v>387</v>
      </c>
      <c r="E632" s="66" t="s">
        <v>116</v>
      </c>
      <c r="F632" s="64">
        <v>49.49</v>
      </c>
      <c r="G632" s="245"/>
      <c r="H632" s="244">
        <f t="shared" ref="H632:H640" si="159">TRUNC((G632*(1+$I$12)),2)</f>
        <v>0</v>
      </c>
      <c r="I632" s="117">
        <f t="shared" si="156"/>
        <v>0</v>
      </c>
      <c r="J632" s="246" t="e">
        <f t="shared" si="155"/>
        <v>#DIV/0!</v>
      </c>
      <c r="K632" s="100">
        <f>((2*2.1*0.15)+(0.9*0.15))</f>
        <v>0.76500000000000001</v>
      </c>
    </row>
    <row r="633" spans="1:12" s="100" customFormat="1" ht="15.95" customHeight="1" outlineLevel="1">
      <c r="A633" s="138" t="s">
        <v>842</v>
      </c>
      <c r="B633" s="63">
        <v>101741</v>
      </c>
      <c r="C633" s="63" t="s">
        <v>18</v>
      </c>
      <c r="D633" s="65" t="s">
        <v>388</v>
      </c>
      <c r="E633" s="66" t="s">
        <v>115</v>
      </c>
      <c r="F633" s="64">
        <v>26.93</v>
      </c>
      <c r="G633" s="245"/>
      <c r="H633" s="244">
        <f t="shared" si="159"/>
        <v>0</v>
      </c>
      <c r="I633" s="117">
        <f t="shared" si="156"/>
        <v>0</v>
      </c>
      <c r="J633" s="246" t="e">
        <f t="shared" si="155"/>
        <v>#DIV/0!</v>
      </c>
      <c r="K633" s="100">
        <f>(((13.75*2.76))-((0.9*2.1)+(3.4*1.5)))</f>
        <v>30.959999999999994</v>
      </c>
    </row>
    <row r="634" spans="1:12" s="100" customFormat="1" ht="27" outlineLevel="1">
      <c r="A634" s="138" t="s">
        <v>843</v>
      </c>
      <c r="B634" s="63">
        <v>96116</v>
      </c>
      <c r="C634" s="63" t="s">
        <v>18</v>
      </c>
      <c r="D634" s="65" t="s">
        <v>593</v>
      </c>
      <c r="E634" s="66" t="s">
        <v>116</v>
      </c>
      <c r="F634" s="64">
        <v>49.35</v>
      </c>
      <c r="G634" s="245"/>
      <c r="H634" s="244">
        <f t="shared" si="159"/>
        <v>0</v>
      </c>
      <c r="I634" s="117">
        <f t="shared" si="156"/>
        <v>0</v>
      </c>
      <c r="J634" s="246" t="e">
        <f t="shared" si="155"/>
        <v>#DIV/0!</v>
      </c>
    </row>
    <row r="635" spans="1:12" s="100" customFormat="1" ht="19.5" customHeight="1" outlineLevel="1">
      <c r="A635" s="138" t="s">
        <v>844</v>
      </c>
      <c r="B635" s="63" t="s">
        <v>10</v>
      </c>
      <c r="C635" s="63" t="str">
        <f>[1]Composições!$I$114</f>
        <v>COMP08</v>
      </c>
      <c r="D635" s="65" t="str">
        <f>[1]Composições!$B$114</f>
        <v>REQUADRO DE PORTAS E JANELAS</v>
      </c>
      <c r="E635" s="66" t="s">
        <v>116</v>
      </c>
      <c r="F635" s="64">
        <v>0.77</v>
      </c>
      <c r="G635" s="323"/>
      <c r="H635" s="322">
        <f t="shared" si="159"/>
        <v>0</v>
      </c>
      <c r="I635" s="117">
        <f t="shared" si="156"/>
        <v>0</v>
      </c>
      <c r="J635" s="246" t="e">
        <f t="shared" si="155"/>
        <v>#DIV/0!</v>
      </c>
    </row>
    <row r="636" spans="1:12" s="100" customFormat="1" ht="40.5" outlineLevel="1">
      <c r="A636" s="138" t="s">
        <v>845</v>
      </c>
      <c r="B636" s="63">
        <v>90844</v>
      </c>
      <c r="C636" s="63" t="s">
        <v>18</v>
      </c>
      <c r="D636" s="65" t="s">
        <v>392</v>
      </c>
      <c r="E636" s="66" t="s">
        <v>221</v>
      </c>
      <c r="F636" s="64">
        <v>1</v>
      </c>
      <c r="G636" s="245"/>
      <c r="H636" s="244">
        <f t="shared" si="159"/>
        <v>0</v>
      </c>
      <c r="I636" s="117">
        <f t="shared" si="156"/>
        <v>0</v>
      </c>
      <c r="J636" s="246" t="e">
        <f t="shared" si="155"/>
        <v>#DIV/0!</v>
      </c>
      <c r="K636" s="100">
        <f>((28.1*1)-(0.9*1))</f>
        <v>27.200000000000003</v>
      </c>
    </row>
    <row r="637" spans="1:12" s="100" customFormat="1" ht="15.95" customHeight="1" outlineLevel="1">
      <c r="A637" s="138" t="s">
        <v>846</v>
      </c>
      <c r="B637" s="63">
        <v>88495</v>
      </c>
      <c r="C637" s="63" t="s">
        <v>18</v>
      </c>
      <c r="D637" s="65" t="s">
        <v>393</v>
      </c>
      <c r="E637" s="66" t="s">
        <v>116</v>
      </c>
      <c r="F637" s="64">
        <v>36.58</v>
      </c>
      <c r="G637" s="137"/>
      <c r="H637" s="117">
        <f t="shared" si="159"/>
        <v>0</v>
      </c>
      <c r="I637" s="117">
        <f t="shared" si="156"/>
        <v>0</v>
      </c>
      <c r="J637" s="246" t="e">
        <f t="shared" si="155"/>
        <v>#DIV/0!</v>
      </c>
    </row>
    <row r="638" spans="1:12" s="100" customFormat="1" outlineLevel="1">
      <c r="A638" s="138" t="s">
        <v>847</v>
      </c>
      <c r="B638" s="63">
        <v>88489</v>
      </c>
      <c r="C638" s="63" t="s">
        <v>18</v>
      </c>
      <c r="D638" s="65" t="s">
        <v>36</v>
      </c>
      <c r="E638" s="66" t="s">
        <v>116</v>
      </c>
      <c r="F638" s="64">
        <f>F637</f>
        <v>36.58</v>
      </c>
      <c r="G638" s="137"/>
      <c r="H638" s="117">
        <f t="shared" si="159"/>
        <v>0</v>
      </c>
      <c r="I638" s="117">
        <f t="shared" si="156"/>
        <v>0</v>
      </c>
      <c r="J638" s="246" t="e">
        <f t="shared" si="155"/>
        <v>#DIV/0!</v>
      </c>
    </row>
    <row r="639" spans="1:12" s="100" customFormat="1" ht="15.95" customHeight="1" outlineLevel="1">
      <c r="A639" s="138" t="s">
        <v>848</v>
      </c>
      <c r="B639" s="63" t="s">
        <v>256</v>
      </c>
      <c r="C639" s="63" t="s">
        <v>7</v>
      </c>
      <c r="D639" s="65" t="s">
        <v>596</v>
      </c>
      <c r="E639" s="66" t="s">
        <v>116</v>
      </c>
      <c r="F639" s="64">
        <v>27.2</v>
      </c>
      <c r="G639" s="137"/>
      <c r="H639" s="117">
        <f t="shared" si="159"/>
        <v>0</v>
      </c>
      <c r="I639" s="117">
        <f t="shared" si="156"/>
        <v>0</v>
      </c>
      <c r="J639" s="246" t="e">
        <f t="shared" si="155"/>
        <v>#DIV/0!</v>
      </c>
      <c r="K639" s="135" t="e">
        <f>I626+I631+I632+I633+#REF!+#REF!</f>
        <v>#REF!</v>
      </c>
      <c r="L639" s="135"/>
    </row>
    <row r="640" spans="1:12" s="100" customFormat="1" ht="15.95" customHeight="1" outlineLevel="1">
      <c r="A640" s="138" t="s">
        <v>849</v>
      </c>
      <c r="B640" s="63" t="s">
        <v>595</v>
      </c>
      <c r="C640" s="63" t="s">
        <v>7</v>
      </c>
      <c r="D640" s="65" t="s">
        <v>594</v>
      </c>
      <c r="E640" s="66" t="s">
        <v>116</v>
      </c>
      <c r="F640" s="64">
        <v>6.89</v>
      </c>
      <c r="G640" s="245"/>
      <c r="H640" s="117">
        <f t="shared" si="159"/>
        <v>0</v>
      </c>
      <c r="I640" s="117">
        <f t="shared" si="156"/>
        <v>0</v>
      </c>
      <c r="J640" s="246" t="e">
        <f t="shared" si="155"/>
        <v>#DIV/0!</v>
      </c>
      <c r="K640" s="135" t="e">
        <f>K639*10</f>
        <v>#REF!</v>
      </c>
      <c r="L640" s="135"/>
    </row>
    <row r="641" spans="1:12" s="100" customFormat="1" outlineLevel="1">
      <c r="A641" s="138" t="s">
        <v>850</v>
      </c>
      <c r="B641" s="63" t="s">
        <v>131</v>
      </c>
      <c r="C641" s="63" t="s">
        <v>9</v>
      </c>
      <c r="D641" s="65" t="s">
        <v>602</v>
      </c>
      <c r="E641" s="66" t="s">
        <v>115</v>
      </c>
      <c r="F641" s="64">
        <v>5.3</v>
      </c>
      <c r="G641" s="147" t="s">
        <v>10</v>
      </c>
      <c r="H641" s="117"/>
      <c r="I641" s="117">
        <f t="shared" si="156"/>
        <v>0</v>
      </c>
      <c r="J641" s="246" t="e">
        <f t="shared" si="155"/>
        <v>#DIV/0!</v>
      </c>
      <c r="K641" s="135"/>
      <c r="L641" s="135"/>
    </row>
    <row r="642" spans="1:12" s="100" customFormat="1" ht="27" outlineLevel="1">
      <c r="A642" s="138" t="s">
        <v>851</v>
      </c>
      <c r="B642" s="63">
        <v>102219</v>
      </c>
      <c r="C642" s="63" t="s">
        <v>18</v>
      </c>
      <c r="D642" s="65" t="s">
        <v>600</v>
      </c>
      <c r="E642" s="66" t="s">
        <v>116</v>
      </c>
      <c r="F642" s="64">
        <v>5.67</v>
      </c>
      <c r="G642" s="137"/>
      <c r="H642" s="117">
        <f t="shared" ref="H642" si="160">TRUNC((G642*(1+$I$12)),2)</f>
        <v>0</v>
      </c>
      <c r="I642" s="117">
        <f t="shared" si="156"/>
        <v>0</v>
      </c>
      <c r="J642" s="246" t="e">
        <f t="shared" si="155"/>
        <v>#DIV/0!</v>
      </c>
    </row>
    <row r="643" spans="1:12" s="100" customFormat="1" ht="15" customHeight="1" outlineLevel="1">
      <c r="A643" s="138" t="s">
        <v>852</v>
      </c>
      <c r="B643" s="63" t="s">
        <v>11</v>
      </c>
      <c r="C643" s="63" t="s">
        <v>9</v>
      </c>
      <c r="D643" s="65" t="s">
        <v>398</v>
      </c>
      <c r="E643" s="66" t="s">
        <v>116</v>
      </c>
      <c r="F643" s="64">
        <v>10.199999999999999</v>
      </c>
      <c r="G643" s="245" t="s">
        <v>10</v>
      </c>
      <c r="H643" s="121"/>
      <c r="I643" s="117">
        <f t="shared" si="156"/>
        <v>0</v>
      </c>
      <c r="J643" s="246" t="e">
        <f t="shared" si="155"/>
        <v>#DIV/0!</v>
      </c>
    </row>
    <row r="644" spans="1:12" s="100" customFormat="1" ht="15.75" customHeight="1" outlineLevel="1">
      <c r="A644" s="138" t="s">
        <v>853</v>
      </c>
      <c r="B644" s="63" t="s">
        <v>597</v>
      </c>
      <c r="C644" s="63" t="s">
        <v>9</v>
      </c>
      <c r="D644" s="65" t="s">
        <v>601</v>
      </c>
      <c r="E644" s="66" t="s">
        <v>218</v>
      </c>
      <c r="F644" s="64">
        <v>0.19</v>
      </c>
      <c r="G644" s="245" t="s">
        <v>10</v>
      </c>
      <c r="H644" s="121"/>
      <c r="I644" s="117">
        <f t="shared" si="156"/>
        <v>0</v>
      </c>
      <c r="J644" s="246" t="e">
        <f t="shared" si="155"/>
        <v>#DIV/0!</v>
      </c>
    </row>
    <row r="645" spans="1:12" s="100" customFormat="1" ht="27" outlineLevel="1">
      <c r="A645" s="138" t="s">
        <v>928</v>
      </c>
      <c r="B645" s="103">
        <v>102219</v>
      </c>
      <c r="C645" s="103" t="s">
        <v>18</v>
      </c>
      <c r="D645" s="85" t="s">
        <v>599</v>
      </c>
      <c r="E645" s="86" t="s">
        <v>116</v>
      </c>
      <c r="F645" s="80">
        <f>F644/0.03</f>
        <v>6.3333333333333339</v>
      </c>
      <c r="G645" s="139"/>
      <c r="H645" s="125">
        <f t="shared" ref="H645" si="161">TRUNC((G645*(1+$I$12)),2)</f>
        <v>0</v>
      </c>
      <c r="I645" s="117">
        <f t="shared" si="156"/>
        <v>0</v>
      </c>
      <c r="J645" s="246" t="e">
        <f t="shared" si="155"/>
        <v>#DIV/0!</v>
      </c>
    </row>
    <row r="646" spans="1:12" s="100" customFormat="1" ht="15.95" customHeight="1" outlineLevel="1">
      <c r="A646" s="138" t="s">
        <v>1935</v>
      </c>
      <c r="B646" s="63" t="s">
        <v>10</v>
      </c>
      <c r="C646" s="63" t="str">
        <f>[1]Composições!$I$107</f>
        <v>COMP07</v>
      </c>
      <c r="D646" s="65" t="str">
        <f>[1]Composições!$B$107</f>
        <v>INSTALAÇÃO DE VENTILADOR</v>
      </c>
      <c r="E646" s="66" t="s">
        <v>221</v>
      </c>
      <c r="F646" s="64">
        <v>2</v>
      </c>
      <c r="G646" s="137"/>
      <c r="H646" s="337">
        <f>TRUNC((G646*(1+$I$12)),2)</f>
        <v>0</v>
      </c>
      <c r="I646" s="117">
        <f>ROUND((F646*H646),2)</f>
        <v>0</v>
      </c>
      <c r="J646" s="246" t="e">
        <f t="shared" si="155"/>
        <v>#DIV/0!</v>
      </c>
    </row>
    <row r="647" spans="1:12" s="140" customFormat="1">
      <c r="A647" s="378" t="s">
        <v>854</v>
      </c>
      <c r="B647" s="378"/>
      <c r="C647" s="378"/>
      <c r="D647" s="378"/>
      <c r="E647" s="378"/>
      <c r="F647" s="378"/>
      <c r="G647" s="378"/>
      <c r="H647" s="378"/>
      <c r="I647" s="179">
        <f>SUM(I619:I646)</f>
        <v>0</v>
      </c>
      <c r="J647" s="136" t="e">
        <f>SUM(J619:J646)</f>
        <v>#DIV/0!</v>
      </c>
      <c r="K647" s="318" t="e">
        <f>I647/$I$944</f>
        <v>#DIV/0!</v>
      </c>
    </row>
    <row r="648" spans="1:12" ht="15" customHeight="1">
      <c r="A648" s="61" t="s">
        <v>929</v>
      </c>
      <c r="B648" s="381"/>
      <c r="C648" s="381"/>
      <c r="D648" s="107" t="s">
        <v>956</v>
      </c>
      <c r="E648" s="382"/>
      <c r="F648" s="382"/>
      <c r="G648" s="382"/>
      <c r="H648" s="382"/>
      <c r="I648" s="382"/>
      <c r="J648" s="382"/>
    </row>
    <row r="649" spans="1:12" s="100" customFormat="1" ht="15.95" customHeight="1" outlineLevel="1">
      <c r="A649" s="138" t="s">
        <v>934</v>
      </c>
      <c r="B649" s="5">
        <v>97644</v>
      </c>
      <c r="C649" s="5" t="s">
        <v>18</v>
      </c>
      <c r="D649" s="106" t="s">
        <v>463</v>
      </c>
      <c r="E649" s="109" t="s">
        <v>116</v>
      </c>
      <c r="F649" s="64">
        <f>2.1*0.9</f>
        <v>1.8900000000000001</v>
      </c>
      <c r="G649" s="116"/>
      <c r="H649" s="241">
        <f>TRUNC((G649*(1+$I$12)),2)</f>
        <v>0</v>
      </c>
      <c r="I649" s="117">
        <f>ROUND((F649*H649),2)</f>
        <v>0</v>
      </c>
      <c r="J649" s="246" t="e">
        <f t="shared" ref="J649:J684" si="162">(I649/$I$1421)</f>
        <v>#DIV/0!</v>
      </c>
    </row>
    <row r="650" spans="1:12" s="100" customFormat="1" ht="27" outlineLevel="1">
      <c r="A650" s="138" t="s">
        <v>1813</v>
      </c>
      <c r="B650" s="5">
        <v>97640</v>
      </c>
      <c r="C650" s="5" t="s">
        <v>18</v>
      </c>
      <c r="D650" s="106" t="s">
        <v>1797</v>
      </c>
      <c r="E650" s="109" t="s">
        <v>116</v>
      </c>
      <c r="F650" s="64">
        <v>11.73</v>
      </c>
      <c r="G650" s="137"/>
      <c r="H650" s="241">
        <f>TRUNC((G650*(1+$I$12)),2)</f>
        <v>0</v>
      </c>
      <c r="I650" s="117">
        <f t="shared" ref="I650:I684" si="163">ROUND((F650*H650),2)</f>
        <v>0</v>
      </c>
      <c r="J650" s="246" t="e">
        <f t="shared" si="162"/>
        <v>#DIV/0!</v>
      </c>
    </row>
    <row r="651" spans="1:12" s="100" customFormat="1" ht="15.95" customHeight="1" outlineLevel="1">
      <c r="A651" s="138" t="s">
        <v>935</v>
      </c>
      <c r="B651" s="63" t="s">
        <v>135</v>
      </c>
      <c r="C651" s="63" t="s">
        <v>7</v>
      </c>
      <c r="D651" s="65" t="s">
        <v>383</v>
      </c>
      <c r="E651" s="66" t="s">
        <v>115</v>
      </c>
      <c r="F651" s="64">
        <v>16.2</v>
      </c>
      <c r="G651" s="245"/>
      <c r="H651" s="244">
        <f>TRUNC((G651*(1+$I$12)),2)</f>
        <v>0</v>
      </c>
      <c r="I651" s="117">
        <f t="shared" si="163"/>
        <v>0</v>
      </c>
      <c r="J651" s="246" t="e">
        <f t="shared" si="162"/>
        <v>#DIV/0!</v>
      </c>
    </row>
    <row r="652" spans="1:12" s="100" customFormat="1" ht="27" outlineLevel="1">
      <c r="A652" s="138" t="s">
        <v>936</v>
      </c>
      <c r="B652" s="63">
        <v>97660</v>
      </c>
      <c r="C652" s="63" t="s">
        <v>18</v>
      </c>
      <c r="D652" s="65" t="s">
        <v>1798</v>
      </c>
      <c r="E652" s="66" t="s">
        <v>221</v>
      </c>
      <c r="F652" s="64">
        <v>2</v>
      </c>
      <c r="G652" s="243"/>
      <c r="H652" s="241">
        <f>TRUNC((G652*(1+$I$12)),2)</f>
        <v>0</v>
      </c>
      <c r="I652" s="117">
        <f t="shared" si="163"/>
        <v>0</v>
      </c>
      <c r="J652" s="246" t="e">
        <f t="shared" si="162"/>
        <v>#DIV/0!</v>
      </c>
    </row>
    <row r="653" spans="1:12" s="100" customFormat="1" ht="15.75" customHeight="1" outlineLevel="1">
      <c r="A653" s="138" t="s">
        <v>937</v>
      </c>
      <c r="B653" s="63">
        <v>97665</v>
      </c>
      <c r="C653" s="63" t="s">
        <v>18</v>
      </c>
      <c r="D653" s="65" t="s">
        <v>1799</v>
      </c>
      <c r="E653" s="66" t="s">
        <v>221</v>
      </c>
      <c r="F653" s="64">
        <v>1</v>
      </c>
      <c r="G653" s="243"/>
      <c r="H653" s="241">
        <f>TRUNC((G653*(1+$I$12)),2)</f>
        <v>0</v>
      </c>
      <c r="I653" s="117">
        <f t="shared" si="163"/>
        <v>0</v>
      </c>
      <c r="J653" s="246" t="e">
        <f t="shared" si="162"/>
        <v>#DIV/0!</v>
      </c>
    </row>
    <row r="654" spans="1:12" s="100" customFormat="1" ht="15.95" customHeight="1" outlineLevel="1">
      <c r="A654" s="138" t="s">
        <v>938</v>
      </c>
      <c r="B654" s="101" t="s">
        <v>380</v>
      </c>
      <c r="C654" s="101" t="s">
        <v>9</v>
      </c>
      <c r="D654" s="102" t="s">
        <v>122</v>
      </c>
      <c r="E654" s="118" t="s">
        <v>221</v>
      </c>
      <c r="F654" s="80">
        <v>1</v>
      </c>
      <c r="G654" s="119" t="s">
        <v>10</v>
      </c>
      <c r="H654" s="120"/>
      <c r="I654" s="117">
        <f t="shared" si="163"/>
        <v>0</v>
      </c>
      <c r="J654" s="246" t="e">
        <f t="shared" si="162"/>
        <v>#DIV/0!</v>
      </c>
    </row>
    <row r="655" spans="1:12" s="100" customFormat="1" ht="15.75" customHeight="1" outlineLevel="1">
      <c r="A655" s="138" t="s">
        <v>939</v>
      </c>
      <c r="B655" s="63" t="s">
        <v>385</v>
      </c>
      <c r="C655" s="63" t="s">
        <v>9</v>
      </c>
      <c r="D655" s="65" t="s">
        <v>384</v>
      </c>
      <c r="E655" s="66" t="s">
        <v>116</v>
      </c>
      <c r="F655" s="64">
        <v>18.61</v>
      </c>
      <c r="G655" s="244" t="s">
        <v>10</v>
      </c>
      <c r="H655" s="244"/>
      <c r="I655" s="117">
        <f t="shared" si="163"/>
        <v>0</v>
      </c>
      <c r="J655" s="246" t="e">
        <f t="shared" si="162"/>
        <v>#DIV/0!</v>
      </c>
    </row>
    <row r="656" spans="1:12" s="100" customFormat="1" ht="15.95" customHeight="1" outlineLevel="1">
      <c r="A656" s="138" t="s">
        <v>940</v>
      </c>
      <c r="B656" s="63" t="s">
        <v>120</v>
      </c>
      <c r="C656" s="63" t="s">
        <v>7</v>
      </c>
      <c r="D656" s="65" t="s">
        <v>121</v>
      </c>
      <c r="E656" s="66" t="s">
        <v>116</v>
      </c>
      <c r="F656" s="64">
        <v>11.87</v>
      </c>
      <c r="G656" s="244"/>
      <c r="H656" s="244">
        <f t="shared" ref="H656" si="164">TRUNC((G656*(1+$I$12)),2)</f>
        <v>0</v>
      </c>
      <c r="I656" s="117">
        <f t="shared" si="163"/>
        <v>0</v>
      </c>
      <c r="J656" s="246" t="e">
        <f t="shared" si="162"/>
        <v>#DIV/0!</v>
      </c>
    </row>
    <row r="657" spans="1:11" s="71" customFormat="1" outlineLevel="1">
      <c r="A657" s="138" t="s">
        <v>941</v>
      </c>
      <c r="B657" s="63" t="s">
        <v>932</v>
      </c>
      <c r="C657" s="63" t="s">
        <v>7</v>
      </c>
      <c r="D657" s="254" t="s">
        <v>931</v>
      </c>
      <c r="E657" s="255" t="s">
        <v>117</v>
      </c>
      <c r="F657" s="255">
        <v>2.4</v>
      </c>
      <c r="G657" s="256"/>
      <c r="H657" s="244">
        <f t="shared" ref="H657" si="165">TRUNC((G657*(1+$I$12)),2)</f>
        <v>0</v>
      </c>
      <c r="I657" s="117">
        <f t="shared" si="163"/>
        <v>0</v>
      </c>
      <c r="J657" s="246" t="e">
        <f t="shared" si="162"/>
        <v>#DIV/0!</v>
      </c>
    </row>
    <row r="658" spans="1:11" s="100" customFormat="1" ht="15.95" customHeight="1" outlineLevel="1">
      <c r="A658" s="138" t="s">
        <v>942</v>
      </c>
      <c r="B658" s="103" t="s">
        <v>478</v>
      </c>
      <c r="C658" s="103" t="s">
        <v>7</v>
      </c>
      <c r="D658" s="257" t="s">
        <v>930</v>
      </c>
      <c r="E658" s="87" t="s">
        <v>218</v>
      </c>
      <c r="F658" s="80">
        <f>1.1+1.6</f>
        <v>2.7</v>
      </c>
      <c r="G658" s="139"/>
      <c r="H658" s="124">
        <f t="shared" ref="H658" si="166">TRUNC((G658*(1+$I$12)),2)</f>
        <v>0</v>
      </c>
      <c r="I658" s="117">
        <f t="shared" si="163"/>
        <v>0</v>
      </c>
      <c r="J658" s="246" t="e">
        <f t="shared" si="162"/>
        <v>#DIV/0!</v>
      </c>
    </row>
    <row r="659" spans="1:11" s="100" customFormat="1" ht="30.75" customHeight="1" outlineLevel="1">
      <c r="A659" s="138" t="s">
        <v>943</v>
      </c>
      <c r="B659" s="63">
        <v>100983</v>
      </c>
      <c r="C659" s="63" t="s">
        <v>18</v>
      </c>
      <c r="D659" s="65" t="s">
        <v>1896</v>
      </c>
      <c r="E659" s="86" t="s">
        <v>218</v>
      </c>
      <c r="F659" s="80">
        <f>(0.1+0.04+0.36+0.01+0.01+0.16+0.25+1.1+1.19+0.56+1.6+0.01)*1.3</f>
        <v>7.0070000000000006</v>
      </c>
      <c r="G659" s="124"/>
      <c r="H659" s="350">
        <f t="shared" ref="H659:H675" si="167">TRUNC((G659*(1+$I$12)),2)</f>
        <v>0</v>
      </c>
      <c r="I659" s="117">
        <f t="shared" si="163"/>
        <v>0</v>
      </c>
      <c r="J659" s="231" t="e">
        <f t="shared" si="162"/>
        <v>#DIV/0!</v>
      </c>
    </row>
    <row r="660" spans="1:11" s="100" customFormat="1" ht="27" outlineLevel="1">
      <c r="A660" s="138" t="s">
        <v>944</v>
      </c>
      <c r="B660" s="63">
        <v>95875</v>
      </c>
      <c r="C660" s="63" t="s">
        <v>18</v>
      </c>
      <c r="D660" s="65" t="s">
        <v>1898</v>
      </c>
      <c r="E660" s="86" t="s">
        <v>1897</v>
      </c>
      <c r="F660" s="80">
        <f>F659*4</f>
        <v>28.028000000000002</v>
      </c>
      <c r="G660" s="124"/>
      <c r="H660" s="350">
        <f t="shared" si="167"/>
        <v>0</v>
      </c>
      <c r="I660" s="117">
        <f t="shared" si="163"/>
        <v>0</v>
      </c>
      <c r="J660" s="231" t="e">
        <f t="shared" si="162"/>
        <v>#DIV/0!</v>
      </c>
    </row>
    <row r="661" spans="1:11" s="157" customFormat="1" outlineLevel="1">
      <c r="A661" s="138" t="s">
        <v>945</v>
      </c>
      <c r="B661" s="63" t="s">
        <v>10</v>
      </c>
      <c r="C661" s="63" t="e">
        <f>#REF!</f>
        <v>#REF!</v>
      </c>
      <c r="D661" s="65" t="e">
        <f>#REF!</f>
        <v>#REF!</v>
      </c>
      <c r="E661" s="66" t="s">
        <v>115</v>
      </c>
      <c r="F661" s="64">
        <v>12</v>
      </c>
      <c r="G661" s="325"/>
      <c r="H661" s="325">
        <f t="shared" si="167"/>
        <v>0</v>
      </c>
      <c r="I661" s="117">
        <f t="shared" si="163"/>
        <v>0</v>
      </c>
      <c r="J661" s="246" t="e">
        <f t="shared" si="162"/>
        <v>#DIV/0!</v>
      </c>
    </row>
    <row r="662" spans="1:11" s="157" customFormat="1" ht="27" outlineLevel="1">
      <c r="A662" s="138" t="s">
        <v>946</v>
      </c>
      <c r="B662" s="63">
        <v>96522</v>
      </c>
      <c r="C662" s="63" t="s">
        <v>18</v>
      </c>
      <c r="D662" s="65" t="s">
        <v>856</v>
      </c>
      <c r="E662" s="66" t="s">
        <v>218</v>
      </c>
      <c r="F662" s="64">
        <f>2*(0.6*0.45*0.45)</f>
        <v>0.24300000000000002</v>
      </c>
      <c r="G662" s="325"/>
      <c r="H662" s="325">
        <f t="shared" si="167"/>
        <v>0</v>
      </c>
      <c r="I662" s="117">
        <f t="shared" si="163"/>
        <v>0</v>
      </c>
      <c r="J662" s="246" t="e">
        <f t="shared" si="162"/>
        <v>#DIV/0!</v>
      </c>
    </row>
    <row r="663" spans="1:11" s="157" customFormat="1" ht="27" outlineLevel="1">
      <c r="A663" s="138" t="s">
        <v>947</v>
      </c>
      <c r="B663" s="63">
        <v>96527</v>
      </c>
      <c r="C663" s="63" t="s">
        <v>18</v>
      </c>
      <c r="D663" s="65" t="s">
        <v>957</v>
      </c>
      <c r="E663" s="66" t="s">
        <v>218</v>
      </c>
      <c r="F663" s="64">
        <f>3.45*0.15*0.25</f>
        <v>0.12937499999999999</v>
      </c>
      <c r="G663" s="325"/>
      <c r="H663" s="325">
        <f t="shared" ref="H663" si="168">TRUNC((G663*(1+$I$12)),2)</f>
        <v>0</v>
      </c>
      <c r="I663" s="117">
        <f t="shared" si="163"/>
        <v>0</v>
      </c>
      <c r="J663" s="246" t="e">
        <f t="shared" si="162"/>
        <v>#DIV/0!</v>
      </c>
    </row>
    <row r="664" spans="1:11" s="157" customFormat="1" ht="27" outlineLevel="1">
      <c r="A664" s="138" t="s">
        <v>948</v>
      </c>
      <c r="B664" s="63">
        <v>96545</v>
      </c>
      <c r="C664" s="63" t="s">
        <v>18</v>
      </c>
      <c r="D664" s="65" t="s">
        <v>267</v>
      </c>
      <c r="E664" s="66" t="s">
        <v>117</v>
      </c>
      <c r="F664" s="64">
        <f>(F663+F662)*20</f>
        <v>7.4474999999999998</v>
      </c>
      <c r="G664" s="325"/>
      <c r="H664" s="325">
        <f t="shared" si="167"/>
        <v>0</v>
      </c>
      <c r="I664" s="117">
        <f t="shared" si="163"/>
        <v>0</v>
      </c>
      <c r="J664" s="246" t="e">
        <f t="shared" si="162"/>
        <v>#DIV/0!</v>
      </c>
    </row>
    <row r="665" spans="1:11" s="157" customFormat="1" ht="27" outlineLevel="1">
      <c r="A665" s="138" t="s">
        <v>949</v>
      </c>
      <c r="B665" s="63" t="s">
        <v>10</v>
      </c>
      <c r="C665" s="63" t="s">
        <v>2053</v>
      </c>
      <c r="D665" s="65" t="s">
        <v>2054</v>
      </c>
      <c r="E665" s="66" t="s">
        <v>115</v>
      </c>
      <c r="F665" s="64">
        <v>12</v>
      </c>
      <c r="G665" s="325"/>
      <c r="H665" s="325">
        <f t="shared" si="167"/>
        <v>0</v>
      </c>
      <c r="I665" s="117">
        <f t="shared" si="163"/>
        <v>0</v>
      </c>
      <c r="J665" s="246" t="e">
        <f t="shared" si="162"/>
        <v>#DIV/0!</v>
      </c>
    </row>
    <row r="666" spans="1:11" s="157" customFormat="1" ht="27" outlineLevel="1">
      <c r="A666" s="138" t="s">
        <v>950</v>
      </c>
      <c r="B666" s="63">
        <v>92759</v>
      </c>
      <c r="C666" s="63" t="s">
        <v>18</v>
      </c>
      <c r="D666" s="65" t="s">
        <v>860</v>
      </c>
      <c r="E666" s="66" t="s">
        <v>117</v>
      </c>
      <c r="F666" s="64">
        <f>((((0.13+0.13+0.18+0.18)*27)/12)+((3.45*4)/12))*1.848*1.1</f>
        <v>5.1734760000000009</v>
      </c>
      <c r="G666" s="244"/>
      <c r="H666" s="244">
        <f t="shared" si="167"/>
        <v>0</v>
      </c>
      <c r="I666" s="117">
        <f t="shared" si="163"/>
        <v>0</v>
      </c>
      <c r="J666" s="246" t="e">
        <f t="shared" si="162"/>
        <v>#DIV/0!</v>
      </c>
      <c r="K666" s="154"/>
    </row>
    <row r="667" spans="1:11" s="157" customFormat="1" ht="27" outlineLevel="1">
      <c r="A667" s="138" t="s">
        <v>951</v>
      </c>
      <c r="B667" s="63">
        <v>92762</v>
      </c>
      <c r="C667" s="63" t="s">
        <v>18</v>
      </c>
      <c r="D667" s="65" t="s">
        <v>857</v>
      </c>
      <c r="E667" s="66" t="s">
        <v>117</v>
      </c>
      <c r="F667" s="64">
        <f>((((2.9*4)*2)/12)+((3.45*4)/12))*7.404*1.1</f>
        <v>25.111900000000002</v>
      </c>
      <c r="G667" s="244"/>
      <c r="H667" s="244">
        <f t="shared" si="167"/>
        <v>0</v>
      </c>
      <c r="I667" s="117">
        <f t="shared" si="163"/>
        <v>0</v>
      </c>
      <c r="J667" s="246" t="e">
        <f t="shared" si="162"/>
        <v>#DIV/0!</v>
      </c>
    </row>
    <row r="668" spans="1:11" s="157" customFormat="1" ht="27" outlineLevel="1">
      <c r="A668" s="138" t="s">
        <v>952</v>
      </c>
      <c r="B668" s="63">
        <v>92419</v>
      </c>
      <c r="C668" s="63" t="s">
        <v>18</v>
      </c>
      <c r="D668" s="65" t="s">
        <v>858</v>
      </c>
      <c r="E668" s="66" t="s">
        <v>116</v>
      </c>
      <c r="F668" s="64">
        <f>(2.9*0.15)+(2.9*0.2*2)</f>
        <v>1.595</v>
      </c>
      <c r="G668" s="244"/>
      <c r="H668" s="244">
        <f t="shared" si="167"/>
        <v>0</v>
      </c>
      <c r="I668" s="117">
        <f t="shared" si="163"/>
        <v>0</v>
      </c>
      <c r="J668" s="246" t="e">
        <f t="shared" si="162"/>
        <v>#DIV/0!</v>
      </c>
    </row>
    <row r="669" spans="1:11" s="157" customFormat="1" ht="27" outlineLevel="1">
      <c r="A669" s="138" t="s">
        <v>953</v>
      </c>
      <c r="B669" s="63">
        <v>103669</v>
      </c>
      <c r="C669" s="63" t="s">
        <v>18</v>
      </c>
      <c r="D669" s="65" t="s">
        <v>958</v>
      </c>
      <c r="E669" s="66" t="s">
        <v>218</v>
      </c>
      <c r="F669" s="64">
        <f>(2.9*0.15*0.2)*2+F663</f>
        <v>0.30337500000000001</v>
      </c>
      <c r="G669" s="244"/>
      <c r="H669" s="244">
        <f t="shared" si="167"/>
        <v>0</v>
      </c>
      <c r="I669" s="117">
        <f t="shared" si="163"/>
        <v>0</v>
      </c>
      <c r="J669" s="246" t="e">
        <f t="shared" si="162"/>
        <v>#DIV/0!</v>
      </c>
    </row>
    <row r="670" spans="1:11" s="71" customFormat="1" ht="27" outlineLevel="1">
      <c r="A670" s="138" t="s">
        <v>954</v>
      </c>
      <c r="B670" s="63">
        <v>103329</v>
      </c>
      <c r="C670" s="63" t="s">
        <v>18</v>
      </c>
      <c r="D670" s="254" t="s">
        <v>274</v>
      </c>
      <c r="E670" s="255" t="s">
        <v>116</v>
      </c>
      <c r="F670" s="258">
        <v>10.01</v>
      </c>
      <c r="G670" s="256"/>
      <c r="H670" s="244">
        <f t="shared" si="167"/>
        <v>0</v>
      </c>
      <c r="I670" s="117">
        <f t="shared" si="163"/>
        <v>0</v>
      </c>
      <c r="J670" s="246" t="e">
        <f t="shared" si="162"/>
        <v>#DIV/0!</v>
      </c>
      <c r="K670" s="259"/>
    </row>
    <row r="671" spans="1:11" s="157" customFormat="1" ht="27" outlineLevel="1">
      <c r="A671" s="138" t="s">
        <v>955</v>
      </c>
      <c r="B671" s="63">
        <v>87879</v>
      </c>
      <c r="C671" s="63" t="s">
        <v>18</v>
      </c>
      <c r="D671" s="65" t="s">
        <v>275</v>
      </c>
      <c r="E671" s="66" t="s">
        <v>116</v>
      </c>
      <c r="F671" s="64">
        <v>10.01</v>
      </c>
      <c r="G671" s="244"/>
      <c r="H671" s="244">
        <f t="shared" ref="H671" si="169">TRUNC((G671*(1+$I$12)),2)</f>
        <v>0</v>
      </c>
      <c r="I671" s="117">
        <f t="shared" si="163"/>
        <v>0</v>
      </c>
      <c r="J671" s="246" t="e">
        <f t="shared" si="162"/>
        <v>#DIV/0!</v>
      </c>
    </row>
    <row r="672" spans="1:11" s="100" customFormat="1" ht="40.5" outlineLevel="1">
      <c r="A672" s="138" t="s">
        <v>959</v>
      </c>
      <c r="B672" s="63">
        <v>87529</v>
      </c>
      <c r="C672" s="63" t="s">
        <v>18</v>
      </c>
      <c r="D672" s="65" t="s">
        <v>35</v>
      </c>
      <c r="E672" s="66" t="s">
        <v>116</v>
      </c>
      <c r="F672" s="64">
        <v>10.01</v>
      </c>
      <c r="G672" s="244"/>
      <c r="H672" s="244">
        <f t="shared" ref="H672" si="170">TRUNC((G672*(1+$I$12)),2)</f>
        <v>0</v>
      </c>
      <c r="I672" s="117">
        <f t="shared" si="163"/>
        <v>0</v>
      </c>
      <c r="J672" s="246" t="e">
        <f t="shared" si="162"/>
        <v>#DIV/0!</v>
      </c>
    </row>
    <row r="673" spans="1:11" s="100" customFormat="1" ht="15.95" customHeight="1" outlineLevel="1">
      <c r="A673" s="138" t="s">
        <v>960</v>
      </c>
      <c r="B673" s="128">
        <v>88495</v>
      </c>
      <c r="C673" s="128" t="s">
        <v>18</v>
      </c>
      <c r="D673" s="82" t="s">
        <v>393</v>
      </c>
      <c r="E673" s="83" t="s">
        <v>116</v>
      </c>
      <c r="F673" s="75">
        <v>10.01</v>
      </c>
      <c r="G673" s="260"/>
      <c r="H673" s="127">
        <f t="shared" si="167"/>
        <v>0</v>
      </c>
      <c r="I673" s="117">
        <f t="shared" si="163"/>
        <v>0</v>
      </c>
      <c r="J673" s="246" t="e">
        <f t="shared" si="162"/>
        <v>#DIV/0!</v>
      </c>
    </row>
    <row r="674" spans="1:11" s="100" customFormat="1" outlineLevel="1">
      <c r="A674" s="138" t="s">
        <v>961</v>
      </c>
      <c r="B674" s="63">
        <v>88489</v>
      </c>
      <c r="C674" s="63" t="s">
        <v>18</v>
      </c>
      <c r="D674" s="65" t="s">
        <v>36</v>
      </c>
      <c r="E674" s="66" t="s">
        <v>116</v>
      </c>
      <c r="F674" s="64">
        <v>10.01</v>
      </c>
      <c r="G674" s="137"/>
      <c r="H674" s="117">
        <f t="shared" si="167"/>
        <v>0</v>
      </c>
      <c r="I674" s="117">
        <f t="shared" si="163"/>
        <v>0</v>
      </c>
      <c r="J674" s="246" t="e">
        <f t="shared" si="162"/>
        <v>#DIV/0!</v>
      </c>
    </row>
    <row r="675" spans="1:11" s="157" customFormat="1" ht="27" outlineLevel="1">
      <c r="A675" s="138" t="s">
        <v>962</v>
      </c>
      <c r="B675" s="63">
        <v>97084</v>
      </c>
      <c r="C675" s="63" t="s">
        <v>18</v>
      </c>
      <c r="D675" s="65" t="s">
        <v>791</v>
      </c>
      <c r="E675" s="68" t="s">
        <v>116</v>
      </c>
      <c r="F675" s="64">
        <v>15.32</v>
      </c>
      <c r="G675" s="350"/>
      <c r="H675" s="244">
        <f t="shared" si="167"/>
        <v>0</v>
      </c>
      <c r="I675" s="117">
        <f t="shared" si="163"/>
        <v>0</v>
      </c>
      <c r="J675" s="246" t="e">
        <f t="shared" si="162"/>
        <v>#DIV/0!</v>
      </c>
    </row>
    <row r="676" spans="1:11" s="100" customFormat="1" ht="27" outlineLevel="1">
      <c r="A676" s="138" t="s">
        <v>963</v>
      </c>
      <c r="B676" s="128">
        <v>96622</v>
      </c>
      <c r="C676" s="128" t="s">
        <v>18</v>
      </c>
      <c r="D676" s="82" t="s">
        <v>1895</v>
      </c>
      <c r="E676" s="88" t="s">
        <v>218</v>
      </c>
      <c r="F676" s="75">
        <f>F675*0.05</f>
        <v>0.76600000000000001</v>
      </c>
      <c r="G676" s="145"/>
      <c r="H676" s="244">
        <f>TRUNC((G676*(1+$I$12)),2)</f>
        <v>0</v>
      </c>
      <c r="I676" s="117">
        <f t="shared" si="163"/>
        <v>0</v>
      </c>
      <c r="J676" s="246" t="e">
        <f t="shared" si="162"/>
        <v>#DIV/0!</v>
      </c>
    </row>
    <row r="677" spans="1:11" s="100" customFormat="1" ht="27" outlineLevel="1">
      <c r="A677" s="138" t="s">
        <v>964</v>
      </c>
      <c r="B677" s="128">
        <v>95241</v>
      </c>
      <c r="C677" s="128" t="s">
        <v>18</v>
      </c>
      <c r="D677" s="82" t="s">
        <v>1894</v>
      </c>
      <c r="E677" s="88" t="s">
        <v>116</v>
      </c>
      <c r="F677" s="75">
        <f>F675</f>
        <v>15.32</v>
      </c>
      <c r="G677" s="145"/>
      <c r="H677" s="244">
        <f>TRUNC((G677*(1+$I$12)),2)</f>
        <v>0</v>
      </c>
      <c r="I677" s="117">
        <f t="shared" si="163"/>
        <v>0</v>
      </c>
      <c r="J677" s="246" t="e">
        <f t="shared" si="162"/>
        <v>#DIV/0!</v>
      </c>
    </row>
    <row r="678" spans="1:11" s="100" customFormat="1" ht="41.25" customHeight="1" outlineLevel="1">
      <c r="A678" s="138" t="s">
        <v>965</v>
      </c>
      <c r="B678" s="63">
        <v>104162</v>
      </c>
      <c r="C678" s="63" t="s">
        <v>18</v>
      </c>
      <c r="D678" s="65" t="s">
        <v>387</v>
      </c>
      <c r="E678" s="66" t="s">
        <v>116</v>
      </c>
      <c r="F678" s="64">
        <v>15.32</v>
      </c>
      <c r="G678" s="245"/>
      <c r="H678" s="244">
        <f t="shared" ref="H678:H682" si="171">TRUNC((G678*(1+$I$12)),2)</f>
        <v>0</v>
      </c>
      <c r="I678" s="117">
        <f t="shared" si="163"/>
        <v>0</v>
      </c>
      <c r="J678" s="246" t="e">
        <f t="shared" si="162"/>
        <v>#DIV/0!</v>
      </c>
      <c r="K678" s="100">
        <f>((2*2.1*0.15)+(0.9*0.15))</f>
        <v>0.76500000000000001</v>
      </c>
    </row>
    <row r="679" spans="1:11" s="100" customFormat="1" ht="15.95" customHeight="1" outlineLevel="1">
      <c r="A679" s="138" t="s">
        <v>966</v>
      </c>
      <c r="B679" s="63">
        <v>101741</v>
      </c>
      <c r="C679" s="63" t="s">
        <v>18</v>
      </c>
      <c r="D679" s="65" t="s">
        <v>388</v>
      </c>
      <c r="E679" s="66" t="s">
        <v>115</v>
      </c>
      <c r="F679" s="64">
        <v>14.7</v>
      </c>
      <c r="G679" s="245"/>
      <c r="H679" s="244">
        <f t="shared" si="171"/>
        <v>0</v>
      </c>
      <c r="I679" s="117">
        <f t="shared" si="163"/>
        <v>0</v>
      </c>
      <c r="J679" s="246" t="e">
        <f t="shared" si="162"/>
        <v>#DIV/0!</v>
      </c>
      <c r="K679" s="100">
        <f>(((13.75*2.76))-((0.9*2.1)+(3.4*1.5)))</f>
        <v>30.959999999999994</v>
      </c>
    </row>
    <row r="680" spans="1:11" s="100" customFormat="1" ht="27" outlineLevel="1">
      <c r="A680" s="138" t="s">
        <v>967</v>
      </c>
      <c r="B680" s="63">
        <v>96116</v>
      </c>
      <c r="C680" s="63" t="s">
        <v>18</v>
      </c>
      <c r="D680" s="65" t="s">
        <v>593</v>
      </c>
      <c r="E680" s="66" t="s">
        <v>116</v>
      </c>
      <c r="F680" s="64">
        <v>15.18</v>
      </c>
      <c r="G680" s="245"/>
      <c r="H680" s="244">
        <f t="shared" si="171"/>
        <v>0</v>
      </c>
      <c r="I680" s="117">
        <f t="shared" si="163"/>
        <v>0</v>
      </c>
      <c r="J680" s="246" t="e">
        <f t="shared" si="162"/>
        <v>#DIV/0!</v>
      </c>
    </row>
    <row r="681" spans="1:11" s="100" customFormat="1" ht="19.5" customHeight="1" outlineLevel="1">
      <c r="A681" s="138" t="s">
        <v>968</v>
      </c>
      <c r="B681" s="63" t="s">
        <v>10</v>
      </c>
      <c r="C681" s="63" t="str">
        <f>[1]Composições!$I$114</f>
        <v>COMP08</v>
      </c>
      <c r="D681" s="65" t="str">
        <f>[1]Composições!$B$114</f>
        <v>REQUADRO DE PORTAS E JANELAS</v>
      </c>
      <c r="E681" s="66" t="s">
        <v>116</v>
      </c>
      <c r="F681" s="64">
        <v>0.77</v>
      </c>
      <c r="G681" s="327"/>
      <c r="H681" s="325">
        <f t="shared" si="171"/>
        <v>0</v>
      </c>
      <c r="I681" s="117">
        <f t="shared" si="163"/>
        <v>0</v>
      </c>
      <c r="J681" s="246" t="e">
        <f t="shared" si="162"/>
        <v>#DIV/0!</v>
      </c>
    </row>
    <row r="682" spans="1:11" s="100" customFormat="1" ht="40.5" outlineLevel="1">
      <c r="A682" s="138" t="s">
        <v>969</v>
      </c>
      <c r="B682" s="63">
        <v>90844</v>
      </c>
      <c r="C682" s="63" t="s">
        <v>18</v>
      </c>
      <c r="D682" s="65" t="s">
        <v>392</v>
      </c>
      <c r="E682" s="66" t="s">
        <v>221</v>
      </c>
      <c r="F682" s="64">
        <v>1</v>
      </c>
      <c r="G682" s="245"/>
      <c r="H682" s="244">
        <f t="shared" si="171"/>
        <v>0</v>
      </c>
      <c r="I682" s="117">
        <f t="shared" si="163"/>
        <v>0</v>
      </c>
      <c r="J682" s="246" t="e">
        <f t="shared" si="162"/>
        <v>#DIV/0!</v>
      </c>
      <c r="K682" s="100">
        <f>((28.1*1)-(0.9*1))</f>
        <v>27.200000000000003</v>
      </c>
    </row>
    <row r="683" spans="1:11" s="100" customFormat="1" ht="27" outlineLevel="1">
      <c r="A683" s="138" t="s">
        <v>970</v>
      </c>
      <c r="B683" s="63">
        <v>102219</v>
      </c>
      <c r="C683" s="63" t="s">
        <v>18</v>
      </c>
      <c r="D683" s="65" t="s">
        <v>600</v>
      </c>
      <c r="E683" s="66" t="s">
        <v>116</v>
      </c>
      <c r="F683" s="64">
        <v>5.67</v>
      </c>
      <c r="G683" s="137"/>
      <c r="H683" s="117">
        <f t="shared" ref="H683" si="172">TRUNC((G683*(1+$I$12)),2)</f>
        <v>0</v>
      </c>
      <c r="I683" s="117">
        <f t="shared" si="163"/>
        <v>0</v>
      </c>
      <c r="J683" s="246" t="e">
        <f t="shared" si="162"/>
        <v>#DIV/0!</v>
      </c>
    </row>
    <row r="684" spans="1:11" s="100" customFormat="1" ht="15" customHeight="1" outlineLevel="1">
      <c r="A684" s="138" t="s">
        <v>971</v>
      </c>
      <c r="B684" s="103" t="s">
        <v>11</v>
      </c>
      <c r="C684" s="103" t="s">
        <v>9</v>
      </c>
      <c r="D684" s="65" t="s">
        <v>933</v>
      </c>
      <c r="E684" s="66" t="s">
        <v>116</v>
      </c>
      <c r="F684" s="64">
        <v>2.2000000000000002</v>
      </c>
      <c r="G684" s="245" t="s">
        <v>10</v>
      </c>
      <c r="H684" s="121"/>
      <c r="I684" s="117">
        <f t="shared" si="163"/>
        <v>0</v>
      </c>
      <c r="J684" s="246" t="e">
        <f t="shared" si="162"/>
        <v>#DIV/0!</v>
      </c>
    </row>
    <row r="685" spans="1:11" s="153" customFormat="1">
      <c r="A685" s="378" t="s">
        <v>1789</v>
      </c>
      <c r="B685" s="378"/>
      <c r="C685" s="378"/>
      <c r="D685" s="378"/>
      <c r="E685" s="378"/>
      <c r="F685" s="378"/>
      <c r="G685" s="378"/>
      <c r="H685" s="378"/>
      <c r="I685" s="179">
        <f>SUM(I649:I684)</f>
        <v>0</v>
      </c>
      <c r="J685" s="136" t="e">
        <f>SUM(J649:J684)</f>
        <v>#DIV/0!</v>
      </c>
      <c r="K685" s="318" t="e">
        <f>I685/$I$944</f>
        <v>#DIV/0!</v>
      </c>
    </row>
    <row r="686" spans="1:11" ht="15" customHeight="1">
      <c r="A686" s="61" t="s">
        <v>972</v>
      </c>
      <c r="B686" s="381"/>
      <c r="C686" s="381"/>
      <c r="D686" s="107" t="s">
        <v>973</v>
      </c>
      <c r="E686" s="382"/>
      <c r="F686" s="382"/>
      <c r="G686" s="382"/>
      <c r="H686" s="382"/>
      <c r="I686" s="382"/>
      <c r="J686" s="382"/>
    </row>
    <row r="687" spans="1:11" s="100" customFormat="1" ht="15.95" customHeight="1" outlineLevel="1">
      <c r="A687" s="138" t="s">
        <v>987</v>
      </c>
      <c r="B687" s="5">
        <v>97644</v>
      </c>
      <c r="C687" s="5" t="s">
        <v>18</v>
      </c>
      <c r="D687" s="106" t="s">
        <v>463</v>
      </c>
      <c r="E687" s="109" t="s">
        <v>116</v>
      </c>
      <c r="F687" s="64">
        <f>2.1*0.9*2</f>
        <v>3.7800000000000002</v>
      </c>
      <c r="G687" s="116"/>
      <c r="H687" s="249">
        <f t="shared" ref="H687:H692" si="173">TRUNC((G687*(1+$I$12)),2)</f>
        <v>0</v>
      </c>
      <c r="I687" s="117">
        <f>ROUND((F687*H687),2)</f>
        <v>0</v>
      </c>
      <c r="J687" s="246" t="e">
        <f t="shared" ref="J687:J722" si="174">(I687/$I$1421)</f>
        <v>#DIV/0!</v>
      </c>
    </row>
    <row r="688" spans="1:11" s="100" customFormat="1" ht="27" outlineLevel="1">
      <c r="A688" s="138" t="s">
        <v>1814</v>
      </c>
      <c r="B688" s="5">
        <v>97640</v>
      </c>
      <c r="C688" s="5" t="s">
        <v>18</v>
      </c>
      <c r="D688" s="106" t="s">
        <v>1797</v>
      </c>
      <c r="E688" s="109" t="s">
        <v>116</v>
      </c>
      <c r="F688" s="64">
        <v>11.22</v>
      </c>
      <c r="G688" s="137"/>
      <c r="H688" s="249">
        <f t="shared" si="173"/>
        <v>0</v>
      </c>
      <c r="I688" s="117">
        <f t="shared" ref="I688:I722" si="175">ROUND((F688*H688),2)</f>
        <v>0</v>
      </c>
      <c r="J688" s="246" t="e">
        <f t="shared" si="174"/>
        <v>#DIV/0!</v>
      </c>
    </row>
    <row r="689" spans="1:11" s="100" customFormat="1" ht="15.95" customHeight="1" outlineLevel="1">
      <c r="A689" s="138" t="s">
        <v>988</v>
      </c>
      <c r="B689" s="63" t="s">
        <v>135</v>
      </c>
      <c r="C689" s="63" t="s">
        <v>7</v>
      </c>
      <c r="D689" s="65" t="s">
        <v>383</v>
      </c>
      <c r="E689" s="66" t="s">
        <v>115</v>
      </c>
      <c r="F689" s="64">
        <v>7.7</v>
      </c>
      <c r="G689" s="252"/>
      <c r="H689" s="249">
        <f t="shared" si="173"/>
        <v>0</v>
      </c>
      <c r="I689" s="117">
        <f t="shared" si="175"/>
        <v>0</v>
      </c>
      <c r="J689" s="246" t="e">
        <f t="shared" si="174"/>
        <v>#DIV/0!</v>
      </c>
    </row>
    <row r="690" spans="1:11" s="100" customFormat="1" ht="27" outlineLevel="1">
      <c r="A690" s="138" t="s">
        <v>989</v>
      </c>
      <c r="B690" s="63">
        <v>97660</v>
      </c>
      <c r="C690" s="63" t="s">
        <v>18</v>
      </c>
      <c r="D690" s="65" t="s">
        <v>1798</v>
      </c>
      <c r="E690" s="66" t="s">
        <v>221</v>
      </c>
      <c r="F690" s="64">
        <v>2</v>
      </c>
      <c r="G690" s="252"/>
      <c r="H690" s="249">
        <f t="shared" si="173"/>
        <v>0</v>
      </c>
      <c r="I690" s="117">
        <f t="shared" si="175"/>
        <v>0</v>
      </c>
      <c r="J690" s="246" t="e">
        <f t="shared" si="174"/>
        <v>#DIV/0!</v>
      </c>
    </row>
    <row r="691" spans="1:11" s="100" customFormat="1" ht="15.75" customHeight="1" outlineLevel="1">
      <c r="A691" s="138" t="s">
        <v>990</v>
      </c>
      <c r="B691" s="63">
        <v>97665</v>
      </c>
      <c r="C691" s="63" t="s">
        <v>18</v>
      </c>
      <c r="D691" s="65" t="s">
        <v>1799</v>
      </c>
      <c r="E691" s="66" t="s">
        <v>221</v>
      </c>
      <c r="F691" s="64">
        <v>2</v>
      </c>
      <c r="G691" s="252"/>
      <c r="H691" s="249">
        <f t="shared" si="173"/>
        <v>0</v>
      </c>
      <c r="I691" s="117">
        <f t="shared" si="175"/>
        <v>0</v>
      </c>
      <c r="J691" s="246" t="e">
        <f t="shared" si="174"/>
        <v>#DIV/0!</v>
      </c>
    </row>
    <row r="692" spans="1:11" s="100" customFormat="1" ht="15.95" customHeight="1" outlineLevel="1">
      <c r="A692" s="138" t="s">
        <v>991</v>
      </c>
      <c r="B692" s="101" t="s">
        <v>984</v>
      </c>
      <c r="C692" s="101" t="s">
        <v>7</v>
      </c>
      <c r="D692" s="102" t="s">
        <v>983</v>
      </c>
      <c r="E692" s="118" t="s">
        <v>221</v>
      </c>
      <c r="F692" s="80">
        <v>3</v>
      </c>
      <c r="G692" s="119"/>
      <c r="H692" s="249">
        <f t="shared" si="173"/>
        <v>0</v>
      </c>
      <c r="I692" s="117">
        <f t="shared" si="175"/>
        <v>0</v>
      </c>
      <c r="J692" s="246" t="e">
        <f t="shared" si="174"/>
        <v>#DIV/0!</v>
      </c>
    </row>
    <row r="693" spans="1:11" s="100" customFormat="1" ht="15.75" customHeight="1" outlineLevel="1">
      <c r="A693" s="138" t="s">
        <v>992</v>
      </c>
      <c r="B693" s="63" t="s">
        <v>385</v>
      </c>
      <c r="C693" s="63" t="s">
        <v>9</v>
      </c>
      <c r="D693" s="65" t="s">
        <v>384</v>
      </c>
      <c r="E693" s="66" t="s">
        <v>116</v>
      </c>
      <c r="F693" s="64">
        <v>7.82</v>
      </c>
      <c r="G693" s="249" t="s">
        <v>10</v>
      </c>
      <c r="H693" s="249"/>
      <c r="I693" s="117">
        <f t="shared" si="175"/>
        <v>0</v>
      </c>
      <c r="J693" s="246" t="e">
        <f t="shared" si="174"/>
        <v>#DIV/0!</v>
      </c>
    </row>
    <row r="694" spans="1:11" s="100" customFormat="1" ht="15.95" customHeight="1" outlineLevel="1">
      <c r="A694" s="138" t="s">
        <v>993</v>
      </c>
      <c r="B694" s="63" t="s">
        <v>120</v>
      </c>
      <c r="C694" s="63" t="s">
        <v>7</v>
      </c>
      <c r="D694" s="65" t="s">
        <v>121</v>
      </c>
      <c r="E694" s="66" t="s">
        <v>116</v>
      </c>
      <c r="F694" s="64">
        <v>11.75</v>
      </c>
      <c r="G694" s="249"/>
      <c r="H694" s="249">
        <f t="shared" ref="H694:H705" si="176">TRUNC((G694*(1+$I$12)),2)</f>
        <v>0</v>
      </c>
      <c r="I694" s="117">
        <f t="shared" si="175"/>
        <v>0</v>
      </c>
      <c r="J694" s="246" t="e">
        <f t="shared" si="174"/>
        <v>#DIV/0!</v>
      </c>
    </row>
    <row r="695" spans="1:11" s="100" customFormat="1" ht="15.95" customHeight="1" outlineLevel="1">
      <c r="A695" s="138" t="s">
        <v>994</v>
      </c>
      <c r="B695" s="63" t="s">
        <v>975</v>
      </c>
      <c r="C695" s="63" t="s">
        <v>7</v>
      </c>
      <c r="D695" s="65" t="s">
        <v>974</v>
      </c>
      <c r="E695" s="66" t="s">
        <v>221</v>
      </c>
      <c r="F695" s="64">
        <v>2</v>
      </c>
      <c r="G695" s="249"/>
      <c r="H695" s="249">
        <f t="shared" ref="H695:H698" si="177">TRUNC((G695*(1+$I$12)),2)</f>
        <v>0</v>
      </c>
      <c r="I695" s="117">
        <f t="shared" si="175"/>
        <v>0</v>
      </c>
      <c r="J695" s="246" t="e">
        <f t="shared" si="174"/>
        <v>#DIV/0!</v>
      </c>
    </row>
    <row r="696" spans="1:11" s="100" customFormat="1" ht="15.95" customHeight="1" outlineLevel="1">
      <c r="A696" s="138" t="s">
        <v>995</v>
      </c>
      <c r="B696" s="63" t="s">
        <v>480</v>
      </c>
      <c r="C696" s="63" t="s">
        <v>7</v>
      </c>
      <c r="D696" s="65" t="s">
        <v>479</v>
      </c>
      <c r="E696" s="66" t="s">
        <v>221</v>
      </c>
      <c r="F696" s="64">
        <v>2</v>
      </c>
      <c r="G696" s="249"/>
      <c r="H696" s="249">
        <f t="shared" si="177"/>
        <v>0</v>
      </c>
      <c r="I696" s="117">
        <f t="shared" si="175"/>
        <v>0</v>
      </c>
      <c r="J696" s="246" t="e">
        <f t="shared" si="174"/>
        <v>#DIV/0!</v>
      </c>
    </row>
    <row r="697" spans="1:11" s="100" customFormat="1" ht="15.95" customHeight="1" outlineLevel="1">
      <c r="A697" s="138" t="s">
        <v>996</v>
      </c>
      <c r="B697" s="63">
        <v>97663</v>
      </c>
      <c r="C697" s="63" t="s">
        <v>18</v>
      </c>
      <c r="D697" s="65" t="s">
        <v>481</v>
      </c>
      <c r="E697" s="66" t="s">
        <v>221</v>
      </c>
      <c r="F697" s="64">
        <v>2</v>
      </c>
      <c r="G697" s="249"/>
      <c r="H697" s="249">
        <f t="shared" si="177"/>
        <v>0</v>
      </c>
      <c r="I697" s="117">
        <f t="shared" si="175"/>
        <v>0</v>
      </c>
      <c r="J697" s="246" t="e">
        <f t="shared" si="174"/>
        <v>#DIV/0!</v>
      </c>
    </row>
    <row r="698" spans="1:11" s="100" customFormat="1" ht="15.95" customHeight="1" outlineLevel="1">
      <c r="A698" s="138" t="s">
        <v>997</v>
      </c>
      <c r="B698" s="63">
        <v>97664</v>
      </c>
      <c r="C698" s="63" t="s">
        <v>18</v>
      </c>
      <c r="D698" s="65" t="s">
        <v>482</v>
      </c>
      <c r="E698" s="66" t="s">
        <v>221</v>
      </c>
      <c r="F698" s="64">
        <v>3</v>
      </c>
      <c r="G698" s="249"/>
      <c r="H698" s="249">
        <f t="shared" si="177"/>
        <v>0</v>
      </c>
      <c r="I698" s="117">
        <f t="shared" si="175"/>
        <v>0</v>
      </c>
      <c r="J698" s="246" t="e">
        <f t="shared" si="174"/>
        <v>#DIV/0!</v>
      </c>
    </row>
    <row r="699" spans="1:11" s="71" customFormat="1" outlineLevel="1">
      <c r="A699" s="138" t="s">
        <v>998</v>
      </c>
      <c r="B699" s="63" t="s">
        <v>932</v>
      </c>
      <c r="C699" s="63" t="s">
        <v>7</v>
      </c>
      <c r="D699" s="254" t="s">
        <v>931</v>
      </c>
      <c r="E699" s="255" t="s">
        <v>117</v>
      </c>
      <c r="F699" s="255">
        <v>1.05</v>
      </c>
      <c r="G699" s="256"/>
      <c r="H699" s="249">
        <f t="shared" si="176"/>
        <v>0</v>
      </c>
      <c r="I699" s="117">
        <f t="shared" si="175"/>
        <v>0</v>
      </c>
      <c r="J699" s="246" t="e">
        <f t="shared" si="174"/>
        <v>#DIV/0!</v>
      </c>
    </row>
    <row r="700" spans="1:11" s="71" customFormat="1" outlineLevel="1">
      <c r="A700" s="138" t="s">
        <v>999</v>
      </c>
      <c r="B700" s="103" t="s">
        <v>986</v>
      </c>
      <c r="C700" s="103" t="s">
        <v>7</v>
      </c>
      <c r="D700" s="257" t="s">
        <v>985</v>
      </c>
      <c r="E700" s="261" t="s">
        <v>116</v>
      </c>
      <c r="F700" s="261">
        <v>0.24</v>
      </c>
      <c r="G700" s="262"/>
      <c r="H700" s="124">
        <f t="shared" si="176"/>
        <v>0</v>
      </c>
      <c r="I700" s="117">
        <f t="shared" si="175"/>
        <v>0</v>
      </c>
      <c r="J700" s="246" t="e">
        <f t="shared" si="174"/>
        <v>#DIV/0!</v>
      </c>
    </row>
    <row r="701" spans="1:11" s="100" customFormat="1" ht="29.25" customHeight="1" outlineLevel="1">
      <c r="A701" s="138" t="s">
        <v>1000</v>
      </c>
      <c r="B701" s="103" t="s">
        <v>478</v>
      </c>
      <c r="C701" s="103" t="s">
        <v>7</v>
      </c>
      <c r="D701" s="257" t="s">
        <v>930</v>
      </c>
      <c r="E701" s="87" t="s">
        <v>218</v>
      </c>
      <c r="F701" s="80">
        <v>0.3</v>
      </c>
      <c r="G701" s="139"/>
      <c r="H701" s="124">
        <f t="shared" si="176"/>
        <v>0</v>
      </c>
      <c r="I701" s="117">
        <f t="shared" si="175"/>
        <v>0</v>
      </c>
      <c r="J701" s="246" t="e">
        <f t="shared" si="174"/>
        <v>#DIV/0!</v>
      </c>
    </row>
    <row r="702" spans="1:11" s="100" customFormat="1" ht="40.5" outlineLevel="1">
      <c r="A702" s="138" t="s">
        <v>1001</v>
      </c>
      <c r="B702" s="63">
        <v>100983</v>
      </c>
      <c r="C702" s="63" t="s">
        <v>18</v>
      </c>
      <c r="D702" s="65" t="s">
        <v>1896</v>
      </c>
      <c r="E702" s="86" t="s">
        <v>218</v>
      </c>
      <c r="F702" s="80">
        <f>(0.2+0.08+0.34+0.01+0.02+0.12+0.01+0.01+0.01+0.01+0.04+0.04+0.01+0.06+0.01+1.18+0.24+0.3)*1.3</f>
        <v>3.4970000000000008</v>
      </c>
      <c r="G702" s="124"/>
      <c r="H702" s="350">
        <f t="shared" si="176"/>
        <v>0</v>
      </c>
      <c r="I702" s="117">
        <f t="shared" si="175"/>
        <v>0</v>
      </c>
      <c r="J702" s="231" t="e">
        <f t="shared" si="174"/>
        <v>#DIV/0!</v>
      </c>
    </row>
    <row r="703" spans="1:11" s="100" customFormat="1" ht="27" outlineLevel="1">
      <c r="A703" s="138" t="s">
        <v>1002</v>
      </c>
      <c r="B703" s="63">
        <v>95875</v>
      </c>
      <c r="C703" s="63" t="s">
        <v>18</v>
      </c>
      <c r="D703" s="65" t="s">
        <v>1898</v>
      </c>
      <c r="E703" s="86" t="s">
        <v>1897</v>
      </c>
      <c r="F703" s="80">
        <f>F702*4</f>
        <v>13.988000000000003</v>
      </c>
      <c r="G703" s="124"/>
      <c r="H703" s="350">
        <f t="shared" si="176"/>
        <v>0</v>
      </c>
      <c r="I703" s="117">
        <f t="shared" si="175"/>
        <v>0</v>
      </c>
      <c r="J703" s="231" t="e">
        <f t="shared" si="174"/>
        <v>#DIV/0!</v>
      </c>
    </row>
    <row r="704" spans="1:11" s="71" customFormat="1" ht="27" outlineLevel="1">
      <c r="A704" s="138" t="s">
        <v>1003</v>
      </c>
      <c r="B704" s="63">
        <v>103329</v>
      </c>
      <c r="C704" s="63" t="s">
        <v>18</v>
      </c>
      <c r="D704" s="254" t="s">
        <v>274</v>
      </c>
      <c r="E704" s="255" t="s">
        <v>116</v>
      </c>
      <c r="F704" s="258">
        <v>13.94</v>
      </c>
      <c r="G704" s="256"/>
      <c r="H704" s="249">
        <f t="shared" si="176"/>
        <v>0</v>
      </c>
      <c r="I704" s="117">
        <f t="shared" si="175"/>
        <v>0</v>
      </c>
      <c r="J704" s="246" t="e">
        <f t="shared" si="174"/>
        <v>#DIV/0!</v>
      </c>
      <c r="K704" s="259"/>
    </row>
    <row r="705" spans="1:11" s="157" customFormat="1" ht="27" outlineLevel="1">
      <c r="A705" s="138" t="s">
        <v>1004</v>
      </c>
      <c r="B705" s="63">
        <v>87879</v>
      </c>
      <c r="C705" s="63" t="s">
        <v>18</v>
      </c>
      <c r="D705" s="65" t="s">
        <v>275</v>
      </c>
      <c r="E705" s="66" t="s">
        <v>116</v>
      </c>
      <c r="F705" s="64">
        <v>17.87</v>
      </c>
      <c r="G705" s="249"/>
      <c r="H705" s="249">
        <f t="shared" si="176"/>
        <v>0</v>
      </c>
      <c r="I705" s="117">
        <f t="shared" si="175"/>
        <v>0</v>
      </c>
      <c r="J705" s="246" t="e">
        <f t="shared" si="174"/>
        <v>#DIV/0!</v>
      </c>
    </row>
    <row r="706" spans="1:11" s="157" customFormat="1" ht="40.5" outlineLevel="1">
      <c r="A706" s="138" t="s">
        <v>1005</v>
      </c>
      <c r="B706" s="63">
        <v>87531</v>
      </c>
      <c r="C706" s="63" t="s">
        <v>18</v>
      </c>
      <c r="D706" s="65" t="s">
        <v>976</v>
      </c>
      <c r="E706" s="66" t="s">
        <v>116</v>
      </c>
      <c r="F706" s="64">
        <v>13.94</v>
      </c>
      <c r="G706" s="249"/>
      <c r="H706" s="249">
        <f t="shared" ref="H706" si="178">TRUNC((G706*(1+$I$12)),2)</f>
        <v>0</v>
      </c>
      <c r="I706" s="117">
        <f t="shared" si="175"/>
        <v>0</v>
      </c>
      <c r="J706" s="246" t="e">
        <f t="shared" si="174"/>
        <v>#DIV/0!</v>
      </c>
    </row>
    <row r="707" spans="1:11" s="100" customFormat="1" ht="40.5" outlineLevel="1">
      <c r="A707" s="138" t="s">
        <v>1006</v>
      </c>
      <c r="B707" s="63">
        <v>87529</v>
      </c>
      <c r="C707" s="63" t="s">
        <v>18</v>
      </c>
      <c r="D707" s="65" t="s">
        <v>35</v>
      </c>
      <c r="E707" s="66" t="s">
        <v>116</v>
      </c>
      <c r="F707" s="64">
        <v>3.94</v>
      </c>
      <c r="G707" s="249"/>
      <c r="H707" s="249">
        <f t="shared" ref="H707" si="179">TRUNC((G707*(1+$I$12)),2)</f>
        <v>0</v>
      </c>
      <c r="I707" s="117">
        <f t="shared" si="175"/>
        <v>0</v>
      </c>
      <c r="J707" s="246" t="e">
        <f t="shared" si="174"/>
        <v>#DIV/0!</v>
      </c>
    </row>
    <row r="708" spans="1:11" s="100" customFormat="1" ht="40.5" outlineLevel="1">
      <c r="A708" s="138" t="s">
        <v>1007</v>
      </c>
      <c r="B708" s="63">
        <v>104455</v>
      </c>
      <c r="C708" s="63" t="s">
        <v>18</v>
      </c>
      <c r="D708" s="65" t="s">
        <v>485</v>
      </c>
      <c r="E708" s="66" t="s">
        <v>116</v>
      </c>
      <c r="F708" s="64">
        <v>31.32</v>
      </c>
      <c r="G708" s="249"/>
      <c r="H708" s="249">
        <f t="shared" ref="H708:H709" si="180">TRUNC((G708*(1+$I$12)),2)</f>
        <v>0</v>
      </c>
      <c r="I708" s="117">
        <f t="shared" si="175"/>
        <v>0</v>
      </c>
      <c r="J708" s="246" t="e">
        <f t="shared" si="174"/>
        <v>#DIV/0!</v>
      </c>
    </row>
    <row r="709" spans="1:11" s="157" customFormat="1" ht="27" outlineLevel="1">
      <c r="A709" s="138" t="s">
        <v>1008</v>
      </c>
      <c r="B709" s="63">
        <v>97084</v>
      </c>
      <c r="C709" s="63" t="s">
        <v>18</v>
      </c>
      <c r="D709" s="65" t="s">
        <v>791</v>
      </c>
      <c r="E709" s="68" t="s">
        <v>116</v>
      </c>
      <c r="F709" s="64">
        <v>8.43</v>
      </c>
      <c r="G709" s="350"/>
      <c r="H709" s="249">
        <f t="shared" si="180"/>
        <v>0</v>
      </c>
      <c r="I709" s="117">
        <f t="shared" si="175"/>
        <v>0</v>
      </c>
      <c r="J709" s="246" t="e">
        <f t="shared" si="174"/>
        <v>#DIV/0!</v>
      </c>
    </row>
    <row r="710" spans="1:11" s="100" customFormat="1" ht="27" outlineLevel="1">
      <c r="A710" s="138" t="s">
        <v>1009</v>
      </c>
      <c r="B710" s="128">
        <v>96622</v>
      </c>
      <c r="C710" s="128" t="s">
        <v>18</v>
      </c>
      <c r="D710" s="82" t="s">
        <v>1895</v>
      </c>
      <c r="E710" s="88" t="s">
        <v>218</v>
      </c>
      <c r="F710" s="75">
        <f>F709*0.05</f>
        <v>0.42149999999999999</v>
      </c>
      <c r="G710" s="145"/>
      <c r="H710" s="249">
        <f>TRUNC((G710*(1+$I$12)),2)</f>
        <v>0</v>
      </c>
      <c r="I710" s="117">
        <f t="shared" si="175"/>
        <v>0</v>
      </c>
      <c r="J710" s="246" t="e">
        <f t="shared" si="174"/>
        <v>#DIV/0!</v>
      </c>
    </row>
    <row r="711" spans="1:11" s="100" customFormat="1" ht="27" outlineLevel="1">
      <c r="A711" s="138" t="s">
        <v>1010</v>
      </c>
      <c r="B711" s="128">
        <v>95241</v>
      </c>
      <c r="C711" s="128" t="s">
        <v>18</v>
      </c>
      <c r="D711" s="82" t="s">
        <v>1894</v>
      </c>
      <c r="E711" s="88" t="s">
        <v>116</v>
      </c>
      <c r="F711" s="75">
        <f>F709</f>
        <v>8.43</v>
      </c>
      <c r="G711" s="145"/>
      <c r="H711" s="249">
        <f>TRUNC((G711*(1+$I$12)),2)</f>
        <v>0</v>
      </c>
      <c r="I711" s="117">
        <f t="shared" si="175"/>
        <v>0</v>
      </c>
      <c r="J711" s="246" t="e">
        <f t="shared" si="174"/>
        <v>#DIV/0!</v>
      </c>
    </row>
    <row r="712" spans="1:11" s="100" customFormat="1" ht="40.5" outlineLevel="1">
      <c r="A712" s="138" t="s">
        <v>1011</v>
      </c>
      <c r="B712" s="63">
        <v>104162</v>
      </c>
      <c r="C712" s="63" t="s">
        <v>18</v>
      </c>
      <c r="D712" s="65" t="s">
        <v>387</v>
      </c>
      <c r="E712" s="66" t="s">
        <v>116</v>
      </c>
      <c r="F712" s="64">
        <v>8.43</v>
      </c>
      <c r="G712" s="252"/>
      <c r="H712" s="249">
        <f t="shared" ref="H712:H717" si="181">TRUNC((G712*(1+$I$12)),2)</f>
        <v>0</v>
      </c>
      <c r="I712" s="117">
        <f t="shared" si="175"/>
        <v>0</v>
      </c>
      <c r="J712" s="246" t="e">
        <f t="shared" si="174"/>
        <v>#DIV/0!</v>
      </c>
      <c r="K712" s="100">
        <f>((2*2.1*0.15)+(0.9*0.15))</f>
        <v>0.76500000000000001</v>
      </c>
    </row>
    <row r="713" spans="1:11" s="100" customFormat="1" ht="15.95" customHeight="1" outlineLevel="1">
      <c r="A713" s="138" t="s">
        <v>1012</v>
      </c>
      <c r="B713" s="63">
        <v>101741</v>
      </c>
      <c r="C713" s="63" t="s">
        <v>18</v>
      </c>
      <c r="D713" s="65" t="s">
        <v>388</v>
      </c>
      <c r="E713" s="66" t="s">
        <v>115</v>
      </c>
      <c r="F713" s="64">
        <v>10.7</v>
      </c>
      <c r="G713" s="252"/>
      <c r="H713" s="249">
        <f t="shared" si="181"/>
        <v>0</v>
      </c>
      <c r="I713" s="117">
        <f t="shared" si="175"/>
        <v>0</v>
      </c>
      <c r="J713" s="246" t="e">
        <f t="shared" si="174"/>
        <v>#DIV/0!</v>
      </c>
      <c r="K713" s="100">
        <f>(((13.75*2.76))-((0.9*2.1)+(3.4*1.5)))</f>
        <v>30.959999999999994</v>
      </c>
    </row>
    <row r="714" spans="1:11" s="100" customFormat="1" ht="27" outlineLevel="1">
      <c r="A714" s="138" t="s">
        <v>1013</v>
      </c>
      <c r="B714" s="63">
        <v>96116</v>
      </c>
      <c r="C714" s="63" t="s">
        <v>18</v>
      </c>
      <c r="D714" s="65" t="s">
        <v>593</v>
      </c>
      <c r="E714" s="66" t="s">
        <v>116</v>
      </c>
      <c r="F714" s="64">
        <v>8.2799999999999994</v>
      </c>
      <c r="G714" s="252"/>
      <c r="H714" s="249">
        <f t="shared" si="181"/>
        <v>0</v>
      </c>
      <c r="I714" s="117">
        <f t="shared" si="175"/>
        <v>0</v>
      </c>
      <c r="J714" s="246" t="e">
        <f t="shared" si="174"/>
        <v>#DIV/0!</v>
      </c>
    </row>
    <row r="715" spans="1:11" s="100" customFormat="1" ht="19.5" customHeight="1" outlineLevel="1">
      <c r="A715" s="138" t="s">
        <v>1014</v>
      </c>
      <c r="B715" s="63" t="s">
        <v>10</v>
      </c>
      <c r="C715" s="63" t="str">
        <f>[1]Composições!$I$114</f>
        <v>COMP08</v>
      </c>
      <c r="D715" s="65" t="str">
        <f>[1]Composições!$B$114</f>
        <v>REQUADRO DE PORTAS E JANELAS</v>
      </c>
      <c r="E715" s="66" t="s">
        <v>116</v>
      </c>
      <c r="F715" s="64">
        <v>0.77</v>
      </c>
      <c r="G715" s="323"/>
      <c r="H715" s="322">
        <f t="shared" si="181"/>
        <v>0</v>
      </c>
      <c r="I715" s="117">
        <f t="shared" si="175"/>
        <v>0</v>
      </c>
      <c r="J715" s="246" t="e">
        <f t="shared" si="174"/>
        <v>#DIV/0!</v>
      </c>
    </row>
    <row r="716" spans="1:11" s="100" customFormat="1" ht="40.5" outlineLevel="1">
      <c r="A716" s="138" t="s">
        <v>1015</v>
      </c>
      <c r="B716" s="63">
        <v>90844</v>
      </c>
      <c r="C716" s="63" t="s">
        <v>18</v>
      </c>
      <c r="D716" s="65" t="s">
        <v>392</v>
      </c>
      <c r="E716" s="66" t="s">
        <v>221</v>
      </c>
      <c r="F716" s="64">
        <v>1</v>
      </c>
      <c r="G716" s="252"/>
      <c r="H716" s="249">
        <f t="shared" si="181"/>
        <v>0</v>
      </c>
      <c r="I716" s="117">
        <f t="shared" si="175"/>
        <v>0</v>
      </c>
      <c r="J716" s="246" t="e">
        <f t="shared" si="174"/>
        <v>#DIV/0!</v>
      </c>
      <c r="K716" s="100">
        <f>((28.1*1)-(0.9*1))</f>
        <v>27.200000000000003</v>
      </c>
    </row>
    <row r="717" spans="1:11" s="100" customFormat="1" ht="27" outlineLevel="1">
      <c r="A717" s="138" t="s">
        <v>1016</v>
      </c>
      <c r="B717" s="63">
        <v>102219</v>
      </c>
      <c r="C717" s="63" t="s">
        <v>18</v>
      </c>
      <c r="D717" s="65" t="s">
        <v>600</v>
      </c>
      <c r="E717" s="66" t="s">
        <v>116</v>
      </c>
      <c r="F717" s="64">
        <v>5.67</v>
      </c>
      <c r="G717" s="137"/>
      <c r="H717" s="117">
        <f t="shared" si="181"/>
        <v>0</v>
      </c>
      <c r="I717" s="117">
        <f t="shared" si="175"/>
        <v>0</v>
      </c>
      <c r="J717" s="246" t="e">
        <f t="shared" si="174"/>
        <v>#DIV/0!</v>
      </c>
    </row>
    <row r="718" spans="1:11" s="100" customFormat="1" ht="40.5" outlineLevel="1">
      <c r="A718" s="138" t="s">
        <v>1017</v>
      </c>
      <c r="B718" s="103">
        <v>94559</v>
      </c>
      <c r="C718" s="103" t="s">
        <v>18</v>
      </c>
      <c r="D718" s="65" t="s">
        <v>981</v>
      </c>
      <c r="E718" s="66" t="s">
        <v>116</v>
      </c>
      <c r="F718" s="64">
        <v>0.72</v>
      </c>
      <c r="G718" s="147"/>
      <c r="H718" s="117">
        <f t="shared" ref="H718" si="182">TRUNC((G718*(1+$I$12)),2)</f>
        <v>0</v>
      </c>
      <c r="I718" s="117">
        <f t="shared" si="175"/>
        <v>0</v>
      </c>
      <c r="J718" s="246" t="e">
        <f t="shared" si="174"/>
        <v>#DIV/0!</v>
      </c>
    </row>
    <row r="719" spans="1:11" s="100" customFormat="1" ht="27" outlineLevel="1">
      <c r="A719" s="138" t="s">
        <v>1018</v>
      </c>
      <c r="B719" s="103">
        <v>100860</v>
      </c>
      <c r="C719" s="103" t="s">
        <v>18</v>
      </c>
      <c r="D719" s="65" t="s">
        <v>982</v>
      </c>
      <c r="E719" s="66" t="s">
        <v>221</v>
      </c>
      <c r="F719" s="64">
        <v>1</v>
      </c>
      <c r="G719" s="252"/>
      <c r="H719" s="117">
        <f t="shared" ref="H719" si="183">TRUNC((G719*(1+$I$12)),2)</f>
        <v>0</v>
      </c>
      <c r="I719" s="117">
        <f t="shared" si="175"/>
        <v>0</v>
      </c>
      <c r="J719" s="246" t="e">
        <f t="shared" si="174"/>
        <v>#DIV/0!</v>
      </c>
    </row>
    <row r="720" spans="1:11" s="100" customFormat="1" ht="15" customHeight="1" outlineLevel="1">
      <c r="A720" s="138" t="s">
        <v>1019</v>
      </c>
      <c r="B720" s="103" t="s">
        <v>978</v>
      </c>
      <c r="C720" s="103" t="s">
        <v>9</v>
      </c>
      <c r="D720" s="65" t="s">
        <v>977</v>
      </c>
      <c r="E720" s="66" t="s">
        <v>118</v>
      </c>
      <c r="F720" s="64">
        <v>1</v>
      </c>
      <c r="G720" s="252" t="s">
        <v>10</v>
      </c>
      <c r="H720" s="121"/>
      <c r="I720" s="117">
        <f t="shared" si="175"/>
        <v>0</v>
      </c>
      <c r="J720" s="246" t="e">
        <f t="shared" si="174"/>
        <v>#DIV/0!</v>
      </c>
    </row>
    <row r="721" spans="1:11" s="100" customFormat="1" ht="15" customHeight="1" outlineLevel="1">
      <c r="A721" s="138" t="s">
        <v>1298</v>
      </c>
      <c r="B721" s="103" t="s">
        <v>980</v>
      </c>
      <c r="C721" s="103" t="s">
        <v>9</v>
      </c>
      <c r="D721" s="65" t="s">
        <v>979</v>
      </c>
      <c r="E721" s="66" t="s">
        <v>118</v>
      </c>
      <c r="F721" s="64">
        <v>1</v>
      </c>
      <c r="G721" s="252" t="s">
        <v>10</v>
      </c>
      <c r="H721" s="121"/>
      <c r="I721" s="117">
        <f t="shared" si="175"/>
        <v>0</v>
      </c>
      <c r="J721" s="246" t="e">
        <f t="shared" si="174"/>
        <v>#DIV/0!</v>
      </c>
    </row>
    <row r="722" spans="1:11" s="100" customFormat="1" ht="27" outlineLevel="1">
      <c r="A722" s="138" t="s">
        <v>1936</v>
      </c>
      <c r="B722" s="103" t="s">
        <v>1079</v>
      </c>
      <c r="C722" s="103" t="s">
        <v>7</v>
      </c>
      <c r="D722" s="65" t="s">
        <v>1078</v>
      </c>
      <c r="E722" s="66" t="s">
        <v>221</v>
      </c>
      <c r="F722" s="64">
        <v>5</v>
      </c>
      <c r="G722" s="252"/>
      <c r="H722" s="117">
        <f t="shared" ref="H722" si="184">TRUNC((G722*(1+$I$12)),2)</f>
        <v>0</v>
      </c>
      <c r="I722" s="117">
        <f t="shared" si="175"/>
        <v>0</v>
      </c>
      <c r="J722" s="246" t="e">
        <f t="shared" si="174"/>
        <v>#DIV/0!</v>
      </c>
    </row>
    <row r="723" spans="1:11" s="156" customFormat="1">
      <c r="A723" s="378" t="s">
        <v>1020</v>
      </c>
      <c r="B723" s="378"/>
      <c r="C723" s="378"/>
      <c r="D723" s="378"/>
      <c r="E723" s="378"/>
      <c r="F723" s="378"/>
      <c r="G723" s="378"/>
      <c r="H723" s="378"/>
      <c r="I723" s="177">
        <f>SUM(I687:I722)</f>
        <v>0</v>
      </c>
      <c r="J723" s="158" t="e">
        <f>SUM(J687:J722)</f>
        <v>#DIV/0!</v>
      </c>
      <c r="K723" s="318" t="e">
        <f>I723/$I$944</f>
        <v>#DIV/0!</v>
      </c>
    </row>
    <row r="724" spans="1:11" ht="15" customHeight="1">
      <c r="A724" s="61" t="s">
        <v>1021</v>
      </c>
      <c r="B724" s="381"/>
      <c r="C724" s="381"/>
      <c r="D724" s="107" t="s">
        <v>156</v>
      </c>
      <c r="E724" s="382"/>
      <c r="F724" s="382"/>
      <c r="G724" s="382"/>
      <c r="H724" s="382"/>
      <c r="I724" s="382"/>
      <c r="J724" s="382"/>
    </row>
    <row r="725" spans="1:11" s="100" customFormat="1" ht="15.95" customHeight="1" outlineLevel="1">
      <c r="A725" s="138" t="s">
        <v>1022</v>
      </c>
      <c r="B725" s="5">
        <v>97644</v>
      </c>
      <c r="C725" s="5" t="s">
        <v>18</v>
      </c>
      <c r="D725" s="106" t="s">
        <v>463</v>
      </c>
      <c r="E725" s="109" t="s">
        <v>116</v>
      </c>
      <c r="F725" s="64">
        <f>2.1*0.9</f>
        <v>1.8900000000000001</v>
      </c>
      <c r="G725" s="116"/>
      <c r="H725" s="241">
        <f>TRUNC((G725*(1+$I$12)),2)</f>
        <v>0</v>
      </c>
      <c r="I725" s="117">
        <f>ROUND((F725*H725),2)</f>
        <v>0</v>
      </c>
      <c r="J725" s="246" t="e">
        <f t="shared" ref="J725:J746" si="185">(I725/$I$1421)</f>
        <v>#DIV/0!</v>
      </c>
    </row>
    <row r="726" spans="1:11" s="100" customFormat="1" ht="27" outlineLevel="1">
      <c r="A726" s="138" t="s">
        <v>1815</v>
      </c>
      <c r="B726" s="5">
        <v>97640</v>
      </c>
      <c r="C726" s="5" t="s">
        <v>18</v>
      </c>
      <c r="D726" s="106" t="s">
        <v>1797</v>
      </c>
      <c r="E726" s="109" t="s">
        <v>116</v>
      </c>
      <c r="F726" s="64">
        <v>24.15</v>
      </c>
      <c r="G726" s="137"/>
      <c r="H726" s="241">
        <f>TRUNC((G726*(1+$I$12)),2)</f>
        <v>0</v>
      </c>
      <c r="I726" s="117">
        <f t="shared" ref="I726:I745" si="186">ROUND((F726*H726),2)</f>
        <v>0</v>
      </c>
      <c r="J726" s="246" t="e">
        <f t="shared" si="185"/>
        <v>#DIV/0!</v>
      </c>
    </row>
    <row r="727" spans="1:11" s="100" customFormat="1" ht="27" outlineLevel="1">
      <c r="A727" s="138" t="s">
        <v>1023</v>
      </c>
      <c r="B727" s="63">
        <v>97660</v>
      </c>
      <c r="C727" s="63" t="s">
        <v>18</v>
      </c>
      <c r="D727" s="65" t="s">
        <v>1798</v>
      </c>
      <c r="E727" s="66" t="s">
        <v>221</v>
      </c>
      <c r="F727" s="64">
        <v>43</v>
      </c>
      <c r="G727" s="339"/>
      <c r="H727" s="337">
        <f>TRUNC((G727*(1+$I$12)),2)</f>
        <v>0</v>
      </c>
      <c r="I727" s="117">
        <f t="shared" si="186"/>
        <v>0</v>
      </c>
      <c r="J727" s="246" t="e">
        <f t="shared" si="185"/>
        <v>#DIV/0!</v>
      </c>
    </row>
    <row r="728" spans="1:11" s="100" customFormat="1" ht="15.75" customHeight="1" outlineLevel="1">
      <c r="A728" s="138" t="s">
        <v>1024</v>
      </c>
      <c r="B728" s="63">
        <v>97665</v>
      </c>
      <c r="C728" s="63" t="s">
        <v>18</v>
      </c>
      <c r="D728" s="65" t="s">
        <v>1799</v>
      </c>
      <c r="E728" s="66" t="s">
        <v>221</v>
      </c>
      <c r="F728" s="64">
        <v>2</v>
      </c>
      <c r="G728" s="339"/>
      <c r="H728" s="337">
        <f>TRUNC((G728*(1+$I$12)),2)</f>
        <v>0</v>
      </c>
      <c r="I728" s="117">
        <f t="shared" si="186"/>
        <v>0</v>
      </c>
      <c r="J728" s="246" t="e">
        <f t="shared" si="185"/>
        <v>#DIV/0!</v>
      </c>
    </row>
    <row r="729" spans="1:11" s="100" customFormat="1" ht="15.75" customHeight="1" outlineLevel="1">
      <c r="A729" s="138" t="s">
        <v>1025</v>
      </c>
      <c r="B729" s="63" t="s">
        <v>802</v>
      </c>
      <c r="C729" s="63" t="s">
        <v>9</v>
      </c>
      <c r="D729" s="65" t="s">
        <v>801</v>
      </c>
      <c r="E729" s="109" t="s">
        <v>116</v>
      </c>
      <c r="F729" s="64">
        <v>0.36</v>
      </c>
      <c r="G729" s="337" t="s">
        <v>10</v>
      </c>
      <c r="H729" s="337"/>
      <c r="I729" s="117">
        <f t="shared" si="186"/>
        <v>0</v>
      </c>
      <c r="J729" s="246" t="e">
        <f t="shared" si="185"/>
        <v>#DIV/0!</v>
      </c>
    </row>
    <row r="730" spans="1:11" s="100" customFormat="1" ht="15.95" customHeight="1" outlineLevel="1">
      <c r="A730" s="138" t="s">
        <v>1026</v>
      </c>
      <c r="B730" s="63" t="s">
        <v>125</v>
      </c>
      <c r="C730" s="63" t="s">
        <v>7</v>
      </c>
      <c r="D730" s="65" t="s">
        <v>592</v>
      </c>
      <c r="E730" s="68" t="s">
        <v>116</v>
      </c>
      <c r="F730" s="64">
        <v>3.9</v>
      </c>
      <c r="G730" s="339"/>
      <c r="H730" s="337">
        <f>TRUNC((G730*(1+$I$12)),2)</f>
        <v>0</v>
      </c>
      <c r="I730" s="117">
        <f t="shared" si="186"/>
        <v>0</v>
      </c>
      <c r="J730" s="246" t="e">
        <f t="shared" si="185"/>
        <v>#DIV/0!</v>
      </c>
    </row>
    <row r="731" spans="1:11" s="100" customFormat="1" ht="15.95" customHeight="1" outlineLevel="1">
      <c r="A731" s="138" t="s">
        <v>1027</v>
      </c>
      <c r="B731" s="63" t="s">
        <v>120</v>
      </c>
      <c r="C731" s="63" t="s">
        <v>7</v>
      </c>
      <c r="D731" s="65" t="s">
        <v>121</v>
      </c>
      <c r="E731" s="66" t="s">
        <v>116</v>
      </c>
      <c r="F731" s="64">
        <v>24.29</v>
      </c>
      <c r="G731" s="337"/>
      <c r="H731" s="337">
        <f t="shared" ref="H731" si="187">TRUNC((G731*(1+$I$12)),2)</f>
        <v>0</v>
      </c>
      <c r="I731" s="117">
        <f t="shared" si="186"/>
        <v>0</v>
      </c>
      <c r="J731" s="246" t="e">
        <f t="shared" si="185"/>
        <v>#DIV/0!</v>
      </c>
    </row>
    <row r="732" spans="1:11" s="100" customFormat="1" ht="40.5" outlineLevel="1">
      <c r="A732" s="138" t="s">
        <v>1028</v>
      </c>
      <c r="B732" s="63">
        <v>100983</v>
      </c>
      <c r="C732" s="63" t="s">
        <v>18</v>
      </c>
      <c r="D732" s="65" t="s">
        <v>1896</v>
      </c>
      <c r="E732" s="86" t="s">
        <v>218</v>
      </c>
      <c r="F732" s="80">
        <f>(0.1+0.04+0.73+0.05+0.03+0.02+0.25+0.04+2.43)*1.3</f>
        <v>4.7970000000000006</v>
      </c>
      <c r="G732" s="124"/>
      <c r="H732" s="350">
        <f t="shared" ref="H732:H734" si="188">TRUNC((G732*(1+$I$12)),2)</f>
        <v>0</v>
      </c>
      <c r="I732" s="117">
        <f t="shared" si="186"/>
        <v>0</v>
      </c>
      <c r="J732" s="231" t="e">
        <f t="shared" si="185"/>
        <v>#DIV/0!</v>
      </c>
    </row>
    <row r="733" spans="1:11" s="100" customFormat="1" ht="27" outlineLevel="1">
      <c r="A733" s="138" t="s">
        <v>1029</v>
      </c>
      <c r="B733" s="63">
        <v>95875</v>
      </c>
      <c r="C733" s="63" t="s">
        <v>18</v>
      </c>
      <c r="D733" s="65" t="s">
        <v>1898</v>
      </c>
      <c r="E733" s="86" t="s">
        <v>1897</v>
      </c>
      <c r="F733" s="80">
        <f>F732*4</f>
        <v>19.188000000000002</v>
      </c>
      <c r="G733" s="124"/>
      <c r="H733" s="350">
        <f t="shared" si="188"/>
        <v>0</v>
      </c>
      <c r="I733" s="117">
        <f t="shared" si="186"/>
        <v>0</v>
      </c>
      <c r="J733" s="231" t="e">
        <f t="shared" si="185"/>
        <v>#DIV/0!</v>
      </c>
    </row>
    <row r="734" spans="1:11" s="157" customFormat="1" ht="27" outlineLevel="1">
      <c r="A734" s="138" t="s">
        <v>1030</v>
      </c>
      <c r="B734" s="63">
        <v>97084</v>
      </c>
      <c r="C734" s="63" t="s">
        <v>18</v>
      </c>
      <c r="D734" s="65" t="s">
        <v>791</v>
      </c>
      <c r="E734" s="68" t="s">
        <v>116</v>
      </c>
      <c r="F734" s="64">
        <v>24.29</v>
      </c>
      <c r="G734" s="350"/>
      <c r="H734" s="337">
        <f t="shared" si="188"/>
        <v>0</v>
      </c>
      <c r="I734" s="117">
        <f t="shared" si="186"/>
        <v>0</v>
      </c>
      <c r="J734" s="246" t="e">
        <f t="shared" si="185"/>
        <v>#DIV/0!</v>
      </c>
    </row>
    <row r="735" spans="1:11" s="100" customFormat="1" ht="27" outlineLevel="1">
      <c r="A735" s="138" t="s">
        <v>1031</v>
      </c>
      <c r="B735" s="128">
        <v>96622</v>
      </c>
      <c r="C735" s="128" t="s">
        <v>18</v>
      </c>
      <c r="D735" s="82" t="s">
        <v>1895</v>
      </c>
      <c r="E735" s="88" t="s">
        <v>218</v>
      </c>
      <c r="F735" s="75">
        <f>F734*0.05</f>
        <v>1.2145000000000001</v>
      </c>
      <c r="G735" s="145"/>
      <c r="H735" s="337">
        <f>TRUNC((G735*(1+$I$12)),2)</f>
        <v>0</v>
      </c>
      <c r="I735" s="117">
        <f t="shared" si="186"/>
        <v>0</v>
      </c>
      <c r="J735" s="246" t="e">
        <f t="shared" si="185"/>
        <v>#DIV/0!</v>
      </c>
    </row>
    <row r="736" spans="1:11" s="100" customFormat="1" ht="27" outlineLevel="1">
      <c r="A736" s="138" t="s">
        <v>1032</v>
      </c>
      <c r="B736" s="128">
        <v>95241</v>
      </c>
      <c r="C736" s="128" t="s">
        <v>18</v>
      </c>
      <c r="D736" s="82" t="s">
        <v>1894</v>
      </c>
      <c r="E736" s="88" t="s">
        <v>116</v>
      </c>
      <c r="F736" s="75">
        <f>F734</f>
        <v>24.29</v>
      </c>
      <c r="G736" s="145"/>
      <c r="H736" s="337">
        <f>TRUNC((G736*(1+$I$12)),2)</f>
        <v>0</v>
      </c>
      <c r="I736" s="117">
        <f t="shared" si="186"/>
        <v>0</v>
      </c>
      <c r="J736" s="246" t="e">
        <f t="shared" si="185"/>
        <v>#DIV/0!</v>
      </c>
    </row>
    <row r="737" spans="1:11" s="100" customFormat="1" ht="40.5" outlineLevel="1">
      <c r="A737" s="138" t="s">
        <v>1033</v>
      </c>
      <c r="B737" s="63">
        <v>104162</v>
      </c>
      <c r="C737" s="63" t="s">
        <v>18</v>
      </c>
      <c r="D737" s="65" t="s">
        <v>387</v>
      </c>
      <c r="E737" s="66" t="s">
        <v>116</v>
      </c>
      <c r="F737" s="64">
        <v>24.29</v>
      </c>
      <c r="G737" s="339"/>
      <c r="H737" s="337">
        <f t="shared" ref="H737:H743" si="189">TRUNC((G737*(1+$I$12)),2)</f>
        <v>0</v>
      </c>
      <c r="I737" s="117">
        <f t="shared" si="186"/>
        <v>0</v>
      </c>
      <c r="J737" s="246" t="e">
        <f t="shared" si="185"/>
        <v>#DIV/0!</v>
      </c>
      <c r="K737" s="100">
        <f>((2*2.1*0.15)+(0.9*0.15))</f>
        <v>0.76500000000000001</v>
      </c>
    </row>
    <row r="738" spans="1:11" s="100" customFormat="1" ht="15.95" customHeight="1" outlineLevel="1">
      <c r="A738" s="138" t="s">
        <v>1034</v>
      </c>
      <c r="B738" s="63">
        <v>101741</v>
      </c>
      <c r="C738" s="63" t="s">
        <v>18</v>
      </c>
      <c r="D738" s="65" t="s">
        <v>388</v>
      </c>
      <c r="E738" s="66" t="s">
        <v>115</v>
      </c>
      <c r="F738" s="64">
        <v>20</v>
      </c>
      <c r="G738" s="339"/>
      <c r="H738" s="337">
        <f t="shared" si="189"/>
        <v>0</v>
      </c>
      <c r="I738" s="117">
        <f t="shared" si="186"/>
        <v>0</v>
      </c>
      <c r="J738" s="246" t="e">
        <f t="shared" si="185"/>
        <v>#DIV/0!</v>
      </c>
      <c r="K738" s="100">
        <f>(((13.75*2.76))-((0.9*2.1)+(3.4*1.5)))</f>
        <v>30.959999999999994</v>
      </c>
    </row>
    <row r="739" spans="1:11" s="100" customFormat="1" ht="27" outlineLevel="1">
      <c r="A739" s="138" t="s">
        <v>1035</v>
      </c>
      <c r="B739" s="63">
        <v>96116</v>
      </c>
      <c r="C739" s="63" t="s">
        <v>18</v>
      </c>
      <c r="D739" s="65" t="s">
        <v>593</v>
      </c>
      <c r="E739" s="66" t="s">
        <v>116</v>
      </c>
      <c r="F739" s="64">
        <v>24.15</v>
      </c>
      <c r="G739" s="339"/>
      <c r="H739" s="337">
        <f t="shared" si="189"/>
        <v>0</v>
      </c>
      <c r="I739" s="117">
        <f t="shared" si="186"/>
        <v>0</v>
      </c>
      <c r="J739" s="246" t="e">
        <f t="shared" si="185"/>
        <v>#DIV/0!</v>
      </c>
    </row>
    <row r="740" spans="1:11" s="100" customFormat="1" ht="19.5" customHeight="1" outlineLevel="1">
      <c r="A740" s="138" t="s">
        <v>1036</v>
      </c>
      <c r="B740" s="63" t="s">
        <v>10</v>
      </c>
      <c r="C740" s="63" t="str">
        <f>[1]Composições!$I$114</f>
        <v>COMP08</v>
      </c>
      <c r="D740" s="65" t="str">
        <f>[1]Composições!$B$114</f>
        <v>REQUADRO DE PORTAS E JANELAS</v>
      </c>
      <c r="E740" s="66" t="s">
        <v>116</v>
      </c>
      <c r="F740" s="64">
        <v>0.77</v>
      </c>
      <c r="G740" s="339"/>
      <c r="H740" s="337">
        <f t="shared" si="189"/>
        <v>0</v>
      </c>
      <c r="I740" s="117">
        <f t="shared" si="186"/>
        <v>0</v>
      </c>
      <c r="J740" s="246" t="e">
        <f t="shared" si="185"/>
        <v>#DIV/0!</v>
      </c>
    </row>
    <row r="741" spans="1:11" s="100" customFormat="1" ht="40.5" outlineLevel="1">
      <c r="A741" s="138" t="s">
        <v>1037</v>
      </c>
      <c r="B741" s="63">
        <v>90844</v>
      </c>
      <c r="C741" s="63" t="s">
        <v>18</v>
      </c>
      <c r="D741" s="65" t="s">
        <v>392</v>
      </c>
      <c r="E741" s="66" t="s">
        <v>221</v>
      </c>
      <c r="F741" s="64">
        <v>1</v>
      </c>
      <c r="G741" s="252"/>
      <c r="H741" s="249">
        <f t="shared" si="189"/>
        <v>0</v>
      </c>
      <c r="I741" s="117">
        <f t="shared" si="186"/>
        <v>0</v>
      </c>
      <c r="J741" s="246" t="e">
        <f t="shared" si="185"/>
        <v>#DIV/0!</v>
      </c>
      <c r="K741" s="100">
        <f>((28.1*1)-(0.9*1))</f>
        <v>27.200000000000003</v>
      </c>
    </row>
    <row r="742" spans="1:11" s="100" customFormat="1" ht="15.95" customHeight="1" outlineLevel="1">
      <c r="A742" s="138" t="s">
        <v>1038</v>
      </c>
      <c r="B742" s="63">
        <v>88495</v>
      </c>
      <c r="C742" s="63" t="s">
        <v>18</v>
      </c>
      <c r="D742" s="65" t="s">
        <v>393</v>
      </c>
      <c r="E742" s="66" t="s">
        <v>116</v>
      </c>
      <c r="F742" s="64">
        <v>54.88</v>
      </c>
      <c r="G742" s="137"/>
      <c r="H742" s="117">
        <f t="shared" si="189"/>
        <v>0</v>
      </c>
      <c r="I742" s="117">
        <f t="shared" si="186"/>
        <v>0</v>
      </c>
      <c r="J742" s="246" t="e">
        <f t="shared" si="185"/>
        <v>#DIV/0!</v>
      </c>
    </row>
    <row r="743" spans="1:11" s="100" customFormat="1" outlineLevel="1">
      <c r="A743" s="138" t="s">
        <v>1039</v>
      </c>
      <c r="B743" s="63">
        <v>88489</v>
      </c>
      <c r="C743" s="63" t="s">
        <v>18</v>
      </c>
      <c r="D743" s="65" t="s">
        <v>36</v>
      </c>
      <c r="E743" s="66" t="s">
        <v>116</v>
      </c>
      <c r="F743" s="64">
        <f>F742</f>
        <v>54.88</v>
      </c>
      <c r="G743" s="137"/>
      <c r="H743" s="117">
        <f t="shared" si="189"/>
        <v>0</v>
      </c>
      <c r="I743" s="117">
        <f t="shared" si="186"/>
        <v>0</v>
      </c>
      <c r="J743" s="246" t="e">
        <f t="shared" si="185"/>
        <v>#DIV/0!</v>
      </c>
    </row>
    <row r="744" spans="1:11" s="100" customFormat="1" ht="27" outlineLevel="1">
      <c r="A744" s="138" t="s">
        <v>1040</v>
      </c>
      <c r="B744" s="63">
        <v>102219</v>
      </c>
      <c r="C744" s="63" t="s">
        <v>18</v>
      </c>
      <c r="D744" s="65" t="s">
        <v>600</v>
      </c>
      <c r="E744" s="66" t="s">
        <v>116</v>
      </c>
      <c r="F744" s="64">
        <v>5.67</v>
      </c>
      <c r="G744" s="137"/>
      <c r="H744" s="117">
        <f t="shared" ref="H744" si="190">TRUNC((G744*(1+$I$12)),2)</f>
        <v>0</v>
      </c>
      <c r="I744" s="117">
        <f t="shared" si="186"/>
        <v>0</v>
      </c>
      <c r="J744" s="246" t="e">
        <f t="shared" si="185"/>
        <v>#DIV/0!</v>
      </c>
    </row>
    <row r="745" spans="1:11" s="100" customFormat="1" ht="15" customHeight="1" outlineLevel="1">
      <c r="A745" s="138" t="s">
        <v>1041</v>
      </c>
      <c r="B745" s="63" t="s">
        <v>11</v>
      </c>
      <c r="C745" s="63" t="s">
        <v>9</v>
      </c>
      <c r="D745" s="65" t="s">
        <v>398</v>
      </c>
      <c r="E745" s="66" t="s">
        <v>116</v>
      </c>
      <c r="F745" s="64">
        <v>7.68</v>
      </c>
      <c r="G745" s="252" t="s">
        <v>10</v>
      </c>
      <c r="H745" s="121"/>
      <c r="I745" s="117">
        <f t="shared" si="186"/>
        <v>0</v>
      </c>
      <c r="J745" s="246" t="e">
        <f t="shared" si="185"/>
        <v>#DIV/0!</v>
      </c>
    </row>
    <row r="746" spans="1:11" s="100" customFormat="1" ht="15.95" customHeight="1" outlineLevel="1">
      <c r="A746" s="138" t="s">
        <v>1937</v>
      </c>
      <c r="B746" s="63" t="s">
        <v>10</v>
      </c>
      <c r="C746" s="63" t="e">
        <f>#REF!</f>
        <v>#REF!</v>
      </c>
      <c r="D746" s="65" t="e">
        <f>#REF!</f>
        <v>#REF!</v>
      </c>
      <c r="E746" s="66" t="s">
        <v>221</v>
      </c>
      <c r="F746" s="64">
        <v>2</v>
      </c>
      <c r="G746" s="137"/>
      <c r="H746" s="337">
        <f>TRUNC((G746*(1+$I$12)),2)</f>
        <v>0</v>
      </c>
      <c r="I746" s="117">
        <f>ROUND((F746*H746),2)</f>
        <v>0</v>
      </c>
      <c r="J746" s="246" t="e">
        <f t="shared" si="185"/>
        <v>#DIV/0!</v>
      </c>
    </row>
    <row r="747" spans="1:11" s="156" customFormat="1">
      <c r="A747" s="378" t="s">
        <v>1042</v>
      </c>
      <c r="B747" s="378"/>
      <c r="C747" s="378"/>
      <c r="D747" s="378"/>
      <c r="E747" s="378"/>
      <c r="F747" s="378"/>
      <c r="G747" s="378"/>
      <c r="H747" s="378"/>
      <c r="I747" s="179">
        <f>SUM(I725:I746)</f>
        <v>0</v>
      </c>
      <c r="J747" s="136" t="e">
        <f>SUM(J725:J746)</f>
        <v>#DIV/0!</v>
      </c>
      <c r="K747" s="318" t="e">
        <f>I747/$I$944</f>
        <v>#DIV/0!</v>
      </c>
    </row>
    <row r="748" spans="1:11" ht="15" customHeight="1">
      <c r="A748" s="61" t="s">
        <v>1043</v>
      </c>
      <c r="B748" s="381"/>
      <c r="C748" s="381"/>
      <c r="D748" s="107" t="s">
        <v>1077</v>
      </c>
      <c r="E748" s="382"/>
      <c r="F748" s="382"/>
      <c r="G748" s="382"/>
      <c r="H748" s="382"/>
      <c r="I748" s="382"/>
      <c r="J748" s="382"/>
    </row>
    <row r="749" spans="1:11" s="100" customFormat="1" ht="15.95" customHeight="1" outlineLevel="1">
      <c r="A749" s="138" t="s">
        <v>1044</v>
      </c>
      <c r="B749" s="5">
        <v>97644</v>
      </c>
      <c r="C749" s="5" t="s">
        <v>18</v>
      </c>
      <c r="D749" s="106" t="s">
        <v>463</v>
      </c>
      <c r="E749" s="109" t="s">
        <v>116</v>
      </c>
      <c r="F749" s="64">
        <f>2.1*0.9*2</f>
        <v>3.7800000000000002</v>
      </c>
      <c r="G749" s="116"/>
      <c r="H749" s="241">
        <f>TRUNC((G749*(1+$I$12)),2)</f>
        <v>0</v>
      </c>
      <c r="I749" s="117">
        <f>ROUND((F749*H749),2)</f>
        <v>0</v>
      </c>
      <c r="J749" s="246" t="e">
        <f t="shared" ref="J749:J787" si="191">(I749/$I$1421)</f>
        <v>#DIV/0!</v>
      </c>
    </row>
    <row r="750" spans="1:11" s="100" customFormat="1" ht="27" outlineLevel="1">
      <c r="A750" s="138" t="s">
        <v>1816</v>
      </c>
      <c r="B750" s="5">
        <v>97640</v>
      </c>
      <c r="C750" s="5" t="s">
        <v>18</v>
      </c>
      <c r="D750" s="106" t="s">
        <v>1797</v>
      </c>
      <c r="E750" s="109" t="s">
        <v>116</v>
      </c>
      <c r="F750" s="64">
        <v>23.4</v>
      </c>
      <c r="G750" s="137"/>
      <c r="H750" s="241">
        <f>TRUNC((G750*(1+$I$12)),2)</f>
        <v>0</v>
      </c>
      <c r="I750" s="117">
        <f t="shared" ref="I750:I787" si="192">ROUND((F750*H750),2)</f>
        <v>0</v>
      </c>
      <c r="J750" s="246" t="e">
        <f t="shared" si="191"/>
        <v>#DIV/0!</v>
      </c>
    </row>
    <row r="751" spans="1:11" s="100" customFormat="1" ht="27" outlineLevel="1">
      <c r="A751" s="138" t="s">
        <v>1045</v>
      </c>
      <c r="B751" s="63">
        <v>97660</v>
      </c>
      <c r="C751" s="63" t="s">
        <v>18</v>
      </c>
      <c r="D751" s="65" t="s">
        <v>1798</v>
      </c>
      <c r="E751" s="66" t="s">
        <v>221</v>
      </c>
      <c r="F751" s="64">
        <v>3</v>
      </c>
      <c r="G751" s="243"/>
      <c r="H751" s="241">
        <f>TRUNC((G751*(1+$I$12)),2)</f>
        <v>0</v>
      </c>
      <c r="I751" s="117">
        <f t="shared" si="192"/>
        <v>0</v>
      </c>
      <c r="J751" s="246" t="e">
        <f t="shared" si="191"/>
        <v>#DIV/0!</v>
      </c>
    </row>
    <row r="752" spans="1:11" s="100" customFormat="1" ht="15.75" customHeight="1" outlineLevel="1">
      <c r="A752" s="138" t="s">
        <v>1046</v>
      </c>
      <c r="B752" s="63">
        <v>97665</v>
      </c>
      <c r="C752" s="63" t="s">
        <v>18</v>
      </c>
      <c r="D752" s="65" t="s">
        <v>1799</v>
      </c>
      <c r="E752" s="66" t="s">
        <v>221</v>
      </c>
      <c r="F752" s="64">
        <v>3</v>
      </c>
      <c r="G752" s="243"/>
      <c r="H752" s="241">
        <f>TRUNC((G752*(1+$I$12)),2)</f>
        <v>0</v>
      </c>
      <c r="I752" s="117">
        <f t="shared" si="192"/>
        <v>0</v>
      </c>
      <c r="J752" s="246" t="e">
        <f t="shared" si="191"/>
        <v>#DIV/0!</v>
      </c>
    </row>
    <row r="753" spans="1:11" s="100" customFormat="1" ht="15.95" customHeight="1" outlineLevel="1">
      <c r="A753" s="138" t="s">
        <v>1047</v>
      </c>
      <c r="B753" s="101" t="s">
        <v>984</v>
      </c>
      <c r="C753" s="101" t="s">
        <v>7</v>
      </c>
      <c r="D753" s="102" t="s">
        <v>983</v>
      </c>
      <c r="E753" s="118" t="s">
        <v>221</v>
      </c>
      <c r="F753" s="80">
        <v>3</v>
      </c>
      <c r="G753" s="119"/>
      <c r="H753" s="249">
        <f>TRUNC((G753*(1+$I$12)),2)</f>
        <v>0</v>
      </c>
      <c r="I753" s="117">
        <f t="shared" si="192"/>
        <v>0</v>
      </c>
      <c r="J753" s="246" t="e">
        <f t="shared" si="191"/>
        <v>#DIV/0!</v>
      </c>
    </row>
    <row r="754" spans="1:11" s="100" customFormat="1" ht="15.75" customHeight="1" outlineLevel="1">
      <c r="A754" s="138" t="s">
        <v>1048</v>
      </c>
      <c r="B754" s="63" t="s">
        <v>385</v>
      </c>
      <c r="C754" s="63" t="s">
        <v>9</v>
      </c>
      <c r="D754" s="65" t="s">
        <v>384</v>
      </c>
      <c r="E754" s="66" t="s">
        <v>116</v>
      </c>
      <c r="F754" s="64">
        <v>30.97</v>
      </c>
      <c r="G754" s="249" t="s">
        <v>10</v>
      </c>
      <c r="H754" s="249"/>
      <c r="I754" s="117">
        <f t="shared" si="192"/>
        <v>0</v>
      </c>
      <c r="J754" s="246" t="e">
        <f t="shared" si="191"/>
        <v>#DIV/0!</v>
      </c>
    </row>
    <row r="755" spans="1:11" s="100" customFormat="1" ht="15.95" customHeight="1" outlineLevel="1">
      <c r="A755" s="138" t="s">
        <v>1049</v>
      </c>
      <c r="B755" s="63" t="s">
        <v>120</v>
      </c>
      <c r="C755" s="63" t="s">
        <v>7</v>
      </c>
      <c r="D755" s="65" t="s">
        <v>121</v>
      </c>
      <c r="E755" s="66" t="s">
        <v>116</v>
      </c>
      <c r="F755" s="64">
        <v>23.68</v>
      </c>
      <c r="G755" s="249"/>
      <c r="H755" s="249">
        <f t="shared" ref="H755:H766" si="193">TRUNC((G755*(1+$I$12)),2)</f>
        <v>0</v>
      </c>
      <c r="I755" s="117">
        <f t="shared" si="192"/>
        <v>0</v>
      </c>
      <c r="J755" s="246" t="e">
        <f t="shared" si="191"/>
        <v>#DIV/0!</v>
      </c>
    </row>
    <row r="756" spans="1:11" s="100" customFormat="1" ht="15.95" customHeight="1" outlineLevel="1">
      <c r="A756" s="138" t="s">
        <v>1050</v>
      </c>
      <c r="B756" s="63" t="s">
        <v>480</v>
      </c>
      <c r="C756" s="63" t="s">
        <v>7</v>
      </c>
      <c r="D756" s="65" t="s">
        <v>479</v>
      </c>
      <c r="E756" s="66" t="s">
        <v>221</v>
      </c>
      <c r="F756" s="64">
        <v>6</v>
      </c>
      <c r="G756" s="249"/>
      <c r="H756" s="249">
        <f t="shared" si="193"/>
        <v>0</v>
      </c>
      <c r="I756" s="117">
        <f t="shared" si="192"/>
        <v>0</v>
      </c>
      <c r="J756" s="246" t="e">
        <f t="shared" si="191"/>
        <v>#DIV/0!</v>
      </c>
    </row>
    <row r="757" spans="1:11" s="100" customFormat="1" ht="15.95" customHeight="1" outlineLevel="1">
      <c r="A757" s="138" t="s">
        <v>1051</v>
      </c>
      <c r="B757" s="63">
        <v>97664</v>
      </c>
      <c r="C757" s="63" t="s">
        <v>18</v>
      </c>
      <c r="D757" s="65" t="s">
        <v>482</v>
      </c>
      <c r="E757" s="66" t="s">
        <v>221</v>
      </c>
      <c r="F757" s="64">
        <v>3</v>
      </c>
      <c r="G757" s="249"/>
      <c r="H757" s="249">
        <f t="shared" si="193"/>
        <v>0</v>
      </c>
      <c r="I757" s="117">
        <f t="shared" si="192"/>
        <v>0</v>
      </c>
      <c r="J757" s="246" t="e">
        <f t="shared" si="191"/>
        <v>#DIV/0!</v>
      </c>
    </row>
    <row r="758" spans="1:11" s="71" customFormat="1" outlineLevel="1">
      <c r="A758" s="138" t="s">
        <v>1817</v>
      </c>
      <c r="B758" s="103" t="s">
        <v>986</v>
      </c>
      <c r="C758" s="103" t="s">
        <v>7</v>
      </c>
      <c r="D758" s="257" t="s">
        <v>985</v>
      </c>
      <c r="E758" s="261" t="s">
        <v>116</v>
      </c>
      <c r="F758" s="261">
        <v>0.36</v>
      </c>
      <c r="G758" s="262"/>
      <c r="H758" s="124">
        <f t="shared" si="193"/>
        <v>0</v>
      </c>
      <c r="I758" s="117">
        <f t="shared" si="192"/>
        <v>0</v>
      </c>
      <c r="J758" s="246" t="e">
        <f t="shared" si="191"/>
        <v>#DIV/0!</v>
      </c>
    </row>
    <row r="759" spans="1:11" s="100" customFormat="1" ht="15.95" customHeight="1" outlineLevel="1">
      <c r="A759" s="138" t="s">
        <v>1052</v>
      </c>
      <c r="B759" s="103" t="s">
        <v>478</v>
      </c>
      <c r="C759" s="103" t="s">
        <v>7</v>
      </c>
      <c r="D759" s="257" t="s">
        <v>930</v>
      </c>
      <c r="E759" s="87" t="s">
        <v>218</v>
      </c>
      <c r="F759" s="80">
        <v>3.99</v>
      </c>
      <c r="G759" s="139"/>
      <c r="H759" s="124">
        <f t="shared" si="193"/>
        <v>0</v>
      </c>
      <c r="I759" s="117">
        <f t="shared" si="192"/>
        <v>0</v>
      </c>
      <c r="J759" s="246" t="e">
        <f t="shared" si="191"/>
        <v>#DIV/0!</v>
      </c>
    </row>
    <row r="760" spans="1:11" s="100" customFormat="1" ht="40.5" outlineLevel="1">
      <c r="A760" s="138" t="s">
        <v>1053</v>
      </c>
      <c r="B760" s="63">
        <v>100983</v>
      </c>
      <c r="C760" s="63" t="s">
        <v>18</v>
      </c>
      <c r="D760" s="65" t="s">
        <v>1896</v>
      </c>
      <c r="E760" s="86" t="s">
        <v>218</v>
      </c>
      <c r="F760" s="80">
        <f>(0.2+0.08+0.7+0.01+0.03+0.01+0.12+0.01+0.01+2.37+1.17+3.99)*1.3</f>
        <v>11.309999999999999</v>
      </c>
      <c r="G760" s="124"/>
      <c r="H760" s="350">
        <f t="shared" si="193"/>
        <v>0</v>
      </c>
      <c r="I760" s="117">
        <f t="shared" si="192"/>
        <v>0</v>
      </c>
      <c r="J760" s="231" t="e">
        <f t="shared" si="191"/>
        <v>#DIV/0!</v>
      </c>
    </row>
    <row r="761" spans="1:11" s="100" customFormat="1" ht="27" outlineLevel="1">
      <c r="A761" s="138" t="s">
        <v>1054</v>
      </c>
      <c r="B761" s="63">
        <v>95875</v>
      </c>
      <c r="C761" s="63" t="s">
        <v>18</v>
      </c>
      <c r="D761" s="65" t="s">
        <v>1898</v>
      </c>
      <c r="E761" s="86" t="s">
        <v>1897</v>
      </c>
      <c r="F761" s="80">
        <f>F760*4</f>
        <v>45.239999999999995</v>
      </c>
      <c r="G761" s="124"/>
      <c r="H761" s="350">
        <f t="shared" si="193"/>
        <v>0</v>
      </c>
      <c r="I761" s="117">
        <f t="shared" si="192"/>
        <v>0</v>
      </c>
      <c r="J761" s="231" t="e">
        <f t="shared" si="191"/>
        <v>#DIV/0!</v>
      </c>
    </row>
    <row r="762" spans="1:11" s="71" customFormat="1" ht="27" outlineLevel="1">
      <c r="A762" s="138" t="s">
        <v>1055</v>
      </c>
      <c r="B762" s="63">
        <v>103329</v>
      </c>
      <c r="C762" s="63" t="s">
        <v>18</v>
      </c>
      <c r="D762" s="254" t="s">
        <v>274</v>
      </c>
      <c r="E762" s="255" t="s">
        <v>116</v>
      </c>
      <c r="F762" s="258">
        <v>1.89</v>
      </c>
      <c r="G762" s="256"/>
      <c r="H762" s="249">
        <f t="shared" si="193"/>
        <v>0</v>
      </c>
      <c r="I762" s="117">
        <f t="shared" si="192"/>
        <v>0</v>
      </c>
      <c r="J762" s="246" t="e">
        <f t="shared" si="191"/>
        <v>#DIV/0!</v>
      </c>
      <c r="K762" s="259"/>
    </row>
    <row r="763" spans="1:11" s="157" customFormat="1" ht="27" outlineLevel="1">
      <c r="A763" s="138" t="s">
        <v>1056</v>
      </c>
      <c r="B763" s="63">
        <v>87879</v>
      </c>
      <c r="C763" s="63" t="s">
        <v>18</v>
      </c>
      <c r="D763" s="65" t="s">
        <v>275</v>
      </c>
      <c r="E763" s="66" t="s">
        <v>116</v>
      </c>
      <c r="F763" s="64">
        <v>64.42</v>
      </c>
      <c r="G763" s="249"/>
      <c r="H763" s="249">
        <f t="shared" si="193"/>
        <v>0</v>
      </c>
      <c r="I763" s="117">
        <f t="shared" si="192"/>
        <v>0</v>
      </c>
      <c r="J763" s="246" t="e">
        <f t="shared" si="191"/>
        <v>#DIV/0!</v>
      </c>
    </row>
    <row r="764" spans="1:11" s="157" customFormat="1" ht="40.5" outlineLevel="1">
      <c r="A764" s="138" t="s">
        <v>1057</v>
      </c>
      <c r="B764" s="63">
        <v>87531</v>
      </c>
      <c r="C764" s="63" t="s">
        <v>18</v>
      </c>
      <c r="D764" s="65" t="s">
        <v>976</v>
      </c>
      <c r="E764" s="66" t="s">
        <v>116</v>
      </c>
      <c r="F764" s="64">
        <v>64.42</v>
      </c>
      <c r="G764" s="249"/>
      <c r="H764" s="249">
        <f t="shared" si="193"/>
        <v>0</v>
      </c>
      <c r="I764" s="117">
        <f t="shared" si="192"/>
        <v>0</v>
      </c>
      <c r="J764" s="246" t="e">
        <f t="shared" si="191"/>
        <v>#DIV/0!</v>
      </c>
    </row>
    <row r="765" spans="1:11" s="100" customFormat="1" ht="40.5" outlineLevel="1">
      <c r="A765" s="138" t="s">
        <v>1058</v>
      </c>
      <c r="B765" s="63">
        <v>104455</v>
      </c>
      <c r="C765" s="63" t="s">
        <v>18</v>
      </c>
      <c r="D765" s="65" t="s">
        <v>485</v>
      </c>
      <c r="E765" s="66" t="s">
        <v>116</v>
      </c>
      <c r="F765" s="64">
        <v>64.42</v>
      </c>
      <c r="G765" s="249"/>
      <c r="H765" s="249">
        <f t="shared" si="193"/>
        <v>0</v>
      </c>
      <c r="I765" s="117">
        <f t="shared" si="192"/>
        <v>0</v>
      </c>
      <c r="J765" s="246" t="e">
        <f t="shared" si="191"/>
        <v>#DIV/0!</v>
      </c>
    </row>
    <row r="766" spans="1:11" s="157" customFormat="1" ht="27" outlineLevel="1">
      <c r="A766" s="138" t="s">
        <v>1059</v>
      </c>
      <c r="B766" s="63">
        <v>97084</v>
      </c>
      <c r="C766" s="63" t="s">
        <v>18</v>
      </c>
      <c r="D766" s="65" t="s">
        <v>791</v>
      </c>
      <c r="E766" s="68" t="s">
        <v>116</v>
      </c>
      <c r="F766" s="64">
        <v>23.68</v>
      </c>
      <c r="G766" s="350"/>
      <c r="H766" s="249">
        <f t="shared" si="193"/>
        <v>0</v>
      </c>
      <c r="I766" s="117">
        <f t="shared" si="192"/>
        <v>0</v>
      </c>
      <c r="J766" s="246" t="e">
        <f t="shared" si="191"/>
        <v>#DIV/0!</v>
      </c>
    </row>
    <row r="767" spans="1:11" s="100" customFormat="1" ht="27" outlineLevel="1">
      <c r="A767" s="138" t="s">
        <v>1060</v>
      </c>
      <c r="B767" s="128">
        <v>96622</v>
      </c>
      <c r="C767" s="128" t="s">
        <v>18</v>
      </c>
      <c r="D767" s="82" t="s">
        <v>1895</v>
      </c>
      <c r="E767" s="88" t="s">
        <v>218</v>
      </c>
      <c r="F767" s="75">
        <f>F766*0.05</f>
        <v>1.1839999999999999</v>
      </c>
      <c r="G767" s="145"/>
      <c r="H767" s="249">
        <f>TRUNC((G767*(1+$I$12)),2)</f>
        <v>0</v>
      </c>
      <c r="I767" s="117">
        <f t="shared" si="192"/>
        <v>0</v>
      </c>
      <c r="J767" s="246" t="e">
        <f t="shared" si="191"/>
        <v>#DIV/0!</v>
      </c>
    </row>
    <row r="768" spans="1:11" s="100" customFormat="1" ht="27" outlineLevel="1">
      <c r="A768" s="138" t="s">
        <v>1061</v>
      </c>
      <c r="B768" s="128">
        <v>95241</v>
      </c>
      <c r="C768" s="128" t="s">
        <v>18</v>
      </c>
      <c r="D768" s="82" t="s">
        <v>1894</v>
      </c>
      <c r="E768" s="88" t="s">
        <v>116</v>
      </c>
      <c r="F768" s="75">
        <f>F766</f>
        <v>23.68</v>
      </c>
      <c r="G768" s="145"/>
      <c r="H768" s="249">
        <f>TRUNC((G768*(1+$I$12)),2)</f>
        <v>0</v>
      </c>
      <c r="I768" s="117">
        <f t="shared" si="192"/>
        <v>0</v>
      </c>
      <c r="J768" s="246" t="e">
        <f t="shared" si="191"/>
        <v>#DIV/0!</v>
      </c>
    </row>
    <row r="769" spans="1:11" s="100" customFormat="1" ht="40.5" outlineLevel="1">
      <c r="A769" s="138" t="s">
        <v>1062</v>
      </c>
      <c r="B769" s="63">
        <v>104162</v>
      </c>
      <c r="C769" s="63" t="s">
        <v>18</v>
      </c>
      <c r="D769" s="65" t="s">
        <v>387</v>
      </c>
      <c r="E769" s="66" t="s">
        <v>116</v>
      </c>
      <c r="F769" s="64">
        <v>23.68</v>
      </c>
      <c r="G769" s="252"/>
      <c r="H769" s="249">
        <f t="shared" ref="H769:H776" si="194">TRUNC((G769*(1+$I$12)),2)</f>
        <v>0</v>
      </c>
      <c r="I769" s="117">
        <f t="shared" si="192"/>
        <v>0</v>
      </c>
      <c r="J769" s="246" t="e">
        <f t="shared" si="191"/>
        <v>#DIV/0!</v>
      </c>
      <c r="K769" s="100">
        <f>((2*2.1*0.15)+(0.9*0.15))</f>
        <v>0.76500000000000001</v>
      </c>
    </row>
    <row r="770" spans="1:11" s="100" customFormat="1" ht="15.95" customHeight="1" outlineLevel="1">
      <c r="A770" s="138" t="s">
        <v>1063</v>
      </c>
      <c r="B770" s="63">
        <v>101741</v>
      </c>
      <c r="C770" s="63" t="s">
        <v>18</v>
      </c>
      <c r="D770" s="65" t="s">
        <v>388</v>
      </c>
      <c r="E770" s="66" t="s">
        <v>115</v>
      </c>
      <c r="F770" s="64">
        <v>26.35</v>
      </c>
      <c r="G770" s="252"/>
      <c r="H770" s="249">
        <f t="shared" si="194"/>
        <v>0</v>
      </c>
      <c r="I770" s="117">
        <f t="shared" si="192"/>
        <v>0</v>
      </c>
      <c r="J770" s="246" t="e">
        <f t="shared" si="191"/>
        <v>#DIV/0!</v>
      </c>
      <c r="K770" s="100">
        <f>(((13.75*2.76))-((0.9*2.1)+(3.4*1.5)))</f>
        <v>30.959999999999994</v>
      </c>
    </row>
    <row r="771" spans="1:11" s="100" customFormat="1" ht="27" outlineLevel="1">
      <c r="A771" s="138" t="s">
        <v>1064</v>
      </c>
      <c r="B771" s="63">
        <v>96116</v>
      </c>
      <c r="C771" s="63" t="s">
        <v>18</v>
      </c>
      <c r="D771" s="65" t="s">
        <v>593</v>
      </c>
      <c r="E771" s="66" t="s">
        <v>116</v>
      </c>
      <c r="F771" s="64">
        <v>23.4</v>
      </c>
      <c r="G771" s="252"/>
      <c r="H771" s="249">
        <f t="shared" si="194"/>
        <v>0</v>
      </c>
      <c r="I771" s="117">
        <f t="shared" si="192"/>
        <v>0</v>
      </c>
      <c r="J771" s="246" t="e">
        <f t="shared" si="191"/>
        <v>#DIV/0!</v>
      </c>
    </row>
    <row r="772" spans="1:11" s="100" customFormat="1" ht="19.5" customHeight="1" outlineLevel="1">
      <c r="A772" s="138" t="s">
        <v>1065</v>
      </c>
      <c r="B772" s="63" t="s">
        <v>10</v>
      </c>
      <c r="C772" s="63" t="str">
        <f>[1]Composições!$I$114</f>
        <v>COMP08</v>
      </c>
      <c r="D772" s="65" t="str">
        <f>[1]Composições!$B$114</f>
        <v>REQUADRO DE PORTAS E JANELAS</v>
      </c>
      <c r="E772" s="66" t="s">
        <v>116</v>
      </c>
      <c r="F772" s="64">
        <v>0.77</v>
      </c>
      <c r="G772" s="339"/>
      <c r="H772" s="337">
        <f t="shared" si="194"/>
        <v>0</v>
      </c>
      <c r="I772" s="117">
        <f t="shared" si="192"/>
        <v>0</v>
      </c>
      <c r="J772" s="246" t="e">
        <f t="shared" si="191"/>
        <v>#DIV/0!</v>
      </c>
    </row>
    <row r="773" spans="1:11" s="100" customFormat="1" ht="40.5" outlineLevel="1">
      <c r="A773" s="138" t="s">
        <v>1066</v>
      </c>
      <c r="B773" s="63">
        <v>90844</v>
      </c>
      <c r="C773" s="63" t="s">
        <v>18</v>
      </c>
      <c r="D773" s="65" t="s">
        <v>392</v>
      </c>
      <c r="E773" s="66" t="s">
        <v>221</v>
      </c>
      <c r="F773" s="64">
        <v>2</v>
      </c>
      <c r="G773" s="252"/>
      <c r="H773" s="249">
        <f t="shared" si="194"/>
        <v>0</v>
      </c>
      <c r="I773" s="117">
        <f t="shared" si="192"/>
        <v>0</v>
      </c>
      <c r="J773" s="246" t="e">
        <f t="shared" si="191"/>
        <v>#DIV/0!</v>
      </c>
      <c r="K773" s="100">
        <f>((28.1*1)-(0.9*1))</f>
        <v>27.200000000000003</v>
      </c>
    </row>
    <row r="774" spans="1:11" s="100" customFormat="1" ht="27" outlineLevel="1">
      <c r="A774" s="138" t="s">
        <v>1067</v>
      </c>
      <c r="B774" s="63">
        <v>102219</v>
      </c>
      <c r="C774" s="63" t="s">
        <v>18</v>
      </c>
      <c r="D774" s="65" t="s">
        <v>600</v>
      </c>
      <c r="E774" s="66" t="s">
        <v>116</v>
      </c>
      <c r="F774" s="64">
        <v>11.34</v>
      </c>
      <c r="G774" s="137"/>
      <c r="H774" s="117">
        <f t="shared" si="194"/>
        <v>0</v>
      </c>
      <c r="I774" s="117">
        <f t="shared" si="192"/>
        <v>0</v>
      </c>
      <c r="J774" s="246" t="e">
        <f t="shared" si="191"/>
        <v>#DIV/0!</v>
      </c>
    </row>
    <row r="775" spans="1:11" s="100" customFormat="1" ht="40.5" outlineLevel="1">
      <c r="A775" s="138" t="s">
        <v>1068</v>
      </c>
      <c r="B775" s="103">
        <v>94559</v>
      </c>
      <c r="C775" s="103" t="s">
        <v>18</v>
      </c>
      <c r="D775" s="65" t="s">
        <v>981</v>
      </c>
      <c r="E775" s="66" t="s">
        <v>116</v>
      </c>
      <c r="F775" s="64">
        <v>0.48</v>
      </c>
      <c r="G775" s="147"/>
      <c r="H775" s="117">
        <f t="shared" si="194"/>
        <v>0</v>
      </c>
      <c r="I775" s="117">
        <f t="shared" si="192"/>
        <v>0</v>
      </c>
      <c r="J775" s="246" t="e">
        <f t="shared" si="191"/>
        <v>#DIV/0!</v>
      </c>
    </row>
    <row r="776" spans="1:11" s="100" customFormat="1" ht="27" outlineLevel="1">
      <c r="A776" s="138" t="s">
        <v>1069</v>
      </c>
      <c r="B776" s="103">
        <v>100860</v>
      </c>
      <c r="C776" s="103" t="s">
        <v>18</v>
      </c>
      <c r="D776" s="65" t="s">
        <v>982</v>
      </c>
      <c r="E776" s="66" t="s">
        <v>221</v>
      </c>
      <c r="F776" s="64">
        <v>2</v>
      </c>
      <c r="G776" s="252"/>
      <c r="H776" s="117">
        <f t="shared" si="194"/>
        <v>0</v>
      </c>
      <c r="I776" s="117">
        <f t="shared" si="192"/>
        <v>0</v>
      </c>
      <c r="J776" s="246" t="e">
        <f t="shared" si="191"/>
        <v>#DIV/0!</v>
      </c>
    </row>
    <row r="777" spans="1:11" s="100" customFormat="1" ht="27" outlineLevel="1">
      <c r="A777" s="138" t="s">
        <v>1070</v>
      </c>
      <c r="B777" s="101">
        <v>95470</v>
      </c>
      <c r="C777" s="103" t="s">
        <v>18</v>
      </c>
      <c r="D777" s="130" t="s">
        <v>487</v>
      </c>
      <c r="E777" s="86" t="s">
        <v>221</v>
      </c>
      <c r="F777" s="80">
        <v>5</v>
      </c>
      <c r="G777" s="119"/>
      <c r="H777" s="120">
        <f t="shared" ref="H777:H782" si="195">TRUNC((G777*(1+$I$12)),2)</f>
        <v>0</v>
      </c>
      <c r="I777" s="117">
        <f t="shared" si="192"/>
        <v>0</v>
      </c>
      <c r="J777" s="246" t="e">
        <f t="shared" si="191"/>
        <v>#DIV/0!</v>
      </c>
    </row>
    <row r="778" spans="1:11" s="100" customFormat="1" outlineLevel="1">
      <c r="A778" s="138" t="s">
        <v>1071</v>
      </c>
      <c r="B778" s="63" t="s">
        <v>1180</v>
      </c>
      <c r="C778" s="63" t="s">
        <v>7</v>
      </c>
      <c r="D778" s="65" t="s">
        <v>1179</v>
      </c>
      <c r="E778" s="66" t="s">
        <v>116</v>
      </c>
      <c r="F778" s="69">
        <v>1.26</v>
      </c>
      <c r="G778" s="249"/>
      <c r="H778" s="121">
        <f t="shared" si="195"/>
        <v>0</v>
      </c>
      <c r="I778" s="117">
        <f t="shared" si="192"/>
        <v>0</v>
      </c>
      <c r="J778" s="246" t="e">
        <f t="shared" si="191"/>
        <v>#DIV/0!</v>
      </c>
    </row>
    <row r="779" spans="1:11" s="100" customFormat="1" ht="27" outlineLevel="1">
      <c r="A779" s="138" t="s">
        <v>1072</v>
      </c>
      <c r="B779" s="128">
        <v>86937</v>
      </c>
      <c r="C779" s="128" t="s">
        <v>18</v>
      </c>
      <c r="D779" s="82" t="s">
        <v>1181</v>
      </c>
      <c r="E779" s="66" t="s">
        <v>221</v>
      </c>
      <c r="F779" s="75">
        <v>3</v>
      </c>
      <c r="G779" s="84"/>
      <c r="H779" s="121">
        <f t="shared" si="195"/>
        <v>0</v>
      </c>
      <c r="I779" s="117">
        <f t="shared" si="192"/>
        <v>0</v>
      </c>
      <c r="J779" s="246" t="e">
        <f t="shared" si="191"/>
        <v>#DIV/0!</v>
      </c>
    </row>
    <row r="780" spans="1:11" s="100" customFormat="1" ht="27" outlineLevel="1">
      <c r="A780" s="138" t="s">
        <v>1073</v>
      </c>
      <c r="B780" s="63">
        <v>86903</v>
      </c>
      <c r="C780" s="63" t="s">
        <v>18</v>
      </c>
      <c r="D780" s="65" t="s">
        <v>486</v>
      </c>
      <c r="E780" s="66" t="s">
        <v>221</v>
      </c>
      <c r="F780" s="64">
        <v>1</v>
      </c>
      <c r="G780" s="249"/>
      <c r="H780" s="121">
        <f t="shared" si="195"/>
        <v>0</v>
      </c>
      <c r="I780" s="117">
        <f t="shared" si="192"/>
        <v>0</v>
      </c>
      <c r="J780" s="246" t="e">
        <f t="shared" si="191"/>
        <v>#DIV/0!</v>
      </c>
    </row>
    <row r="781" spans="1:11" s="100" customFormat="1" ht="27" outlineLevel="1">
      <c r="A781" s="138" t="s">
        <v>1074</v>
      </c>
      <c r="B781" s="63">
        <v>102257</v>
      </c>
      <c r="C781" s="63" t="s">
        <v>18</v>
      </c>
      <c r="D781" s="65" t="s">
        <v>483</v>
      </c>
      <c r="E781" s="66" t="s">
        <v>116</v>
      </c>
      <c r="F781" s="64">
        <v>15.45</v>
      </c>
      <c r="G781" s="376"/>
      <c r="H781" s="121">
        <f t="shared" si="195"/>
        <v>0</v>
      </c>
      <c r="I781" s="117">
        <f t="shared" si="192"/>
        <v>0</v>
      </c>
      <c r="J781" s="246" t="e">
        <f t="shared" si="191"/>
        <v>#DIV/0!</v>
      </c>
    </row>
    <row r="782" spans="1:11" s="100" customFormat="1" outlineLevel="1">
      <c r="A782" s="138" t="s">
        <v>1075</v>
      </c>
      <c r="B782" s="63" t="s">
        <v>1081</v>
      </c>
      <c r="C782" s="63" t="s">
        <v>7</v>
      </c>
      <c r="D782" s="65" t="s">
        <v>1080</v>
      </c>
      <c r="E782" s="66" t="s">
        <v>116</v>
      </c>
      <c r="F782" s="64">
        <v>6.48</v>
      </c>
      <c r="G782" s="249"/>
      <c r="H782" s="121">
        <f t="shared" si="195"/>
        <v>0</v>
      </c>
      <c r="I782" s="117">
        <f t="shared" si="192"/>
        <v>0</v>
      </c>
      <c r="J782" s="246" t="e">
        <f t="shared" si="191"/>
        <v>#DIV/0!</v>
      </c>
      <c r="K782" s="100">
        <v>40.886999999999993</v>
      </c>
    </row>
    <row r="783" spans="1:11" s="100" customFormat="1" ht="15" customHeight="1" outlineLevel="1">
      <c r="A783" s="138" t="s">
        <v>1083</v>
      </c>
      <c r="B783" s="63" t="s">
        <v>11</v>
      </c>
      <c r="C783" s="63" t="s">
        <v>9</v>
      </c>
      <c r="D783" s="65" t="s">
        <v>398</v>
      </c>
      <c r="E783" s="66" t="s">
        <v>116</v>
      </c>
      <c r="F783" s="64">
        <v>1.44</v>
      </c>
      <c r="G783" s="252" t="s">
        <v>10</v>
      </c>
      <c r="H783" s="121"/>
      <c r="I783" s="117">
        <f t="shared" si="192"/>
        <v>0</v>
      </c>
      <c r="J783" s="246" t="e">
        <f t="shared" si="191"/>
        <v>#DIV/0!</v>
      </c>
    </row>
    <row r="784" spans="1:11" s="100" customFormat="1" ht="27" outlineLevel="1">
      <c r="A784" s="138" t="s">
        <v>1086</v>
      </c>
      <c r="B784" s="63">
        <v>89957</v>
      </c>
      <c r="C784" s="63" t="s">
        <v>18</v>
      </c>
      <c r="D784" s="65" t="s">
        <v>1082</v>
      </c>
      <c r="E784" s="66" t="s">
        <v>221</v>
      </c>
      <c r="F784" s="64">
        <v>6</v>
      </c>
      <c r="G784" s="249"/>
      <c r="H784" s="121">
        <f>TRUNC((G784*(1+$I$12)),2)</f>
        <v>0</v>
      </c>
      <c r="I784" s="117">
        <f t="shared" si="192"/>
        <v>0</v>
      </c>
      <c r="J784" s="246" t="e">
        <f t="shared" si="191"/>
        <v>#DIV/0!</v>
      </c>
    </row>
    <row r="785" spans="1:11" s="100" customFormat="1" ht="27" outlineLevel="1">
      <c r="A785" s="138" t="s">
        <v>1087</v>
      </c>
      <c r="B785" s="103">
        <v>89712</v>
      </c>
      <c r="C785" s="103" t="s">
        <v>18</v>
      </c>
      <c r="D785" s="85" t="s">
        <v>1084</v>
      </c>
      <c r="E785" s="86" t="s">
        <v>115</v>
      </c>
      <c r="F785" s="80">
        <v>3</v>
      </c>
      <c r="G785" s="124"/>
      <c r="H785" s="125">
        <f>TRUNC((G785*(1+$I$12)),2)</f>
        <v>0</v>
      </c>
      <c r="I785" s="117">
        <f t="shared" si="192"/>
        <v>0</v>
      </c>
      <c r="J785" s="246" t="e">
        <f t="shared" si="191"/>
        <v>#DIV/0!</v>
      </c>
    </row>
    <row r="786" spans="1:11" s="100" customFormat="1" ht="27" outlineLevel="1">
      <c r="A786" s="138" t="s">
        <v>1183</v>
      </c>
      <c r="B786" s="63">
        <v>89714</v>
      </c>
      <c r="C786" s="63" t="s">
        <v>18</v>
      </c>
      <c r="D786" s="65" t="s">
        <v>1085</v>
      </c>
      <c r="E786" s="66" t="s">
        <v>115</v>
      </c>
      <c r="F786" s="64">
        <v>6</v>
      </c>
      <c r="G786" s="249"/>
      <c r="H786" s="121">
        <f>TRUNC((G786*(1+$I$12)),2)</f>
        <v>0</v>
      </c>
      <c r="I786" s="117">
        <f t="shared" si="192"/>
        <v>0</v>
      </c>
      <c r="J786" s="246" t="e">
        <f t="shared" si="191"/>
        <v>#DIV/0!</v>
      </c>
    </row>
    <row r="787" spans="1:11" s="100" customFormat="1" ht="15" customHeight="1" outlineLevel="1">
      <c r="A787" s="138" t="s">
        <v>1938</v>
      </c>
      <c r="B787" s="63" t="s">
        <v>1089</v>
      </c>
      <c r="C787" s="63" t="s">
        <v>9</v>
      </c>
      <c r="D787" s="65" t="s">
        <v>1088</v>
      </c>
      <c r="E787" s="66" t="s">
        <v>221</v>
      </c>
      <c r="F787" s="64">
        <v>1</v>
      </c>
      <c r="G787" s="249" t="s">
        <v>10</v>
      </c>
      <c r="H787" s="121"/>
      <c r="I787" s="117">
        <f t="shared" si="192"/>
        <v>0</v>
      </c>
      <c r="J787" s="246" t="e">
        <f t="shared" si="191"/>
        <v>#DIV/0!</v>
      </c>
    </row>
    <row r="788" spans="1:11" s="156" customFormat="1">
      <c r="A788" s="387" t="s">
        <v>1076</v>
      </c>
      <c r="B788" s="387"/>
      <c r="C788" s="387"/>
      <c r="D788" s="387"/>
      <c r="E788" s="387"/>
      <c r="F788" s="387"/>
      <c r="G788" s="387"/>
      <c r="H788" s="387"/>
      <c r="I788" s="175">
        <f>SUM(I749:I787)</f>
        <v>0</v>
      </c>
      <c r="J788" s="159" t="e">
        <f>SUM(J749:J787)</f>
        <v>#DIV/0!</v>
      </c>
      <c r="K788" s="318" t="e">
        <f>I788/$I$944</f>
        <v>#DIV/0!</v>
      </c>
    </row>
    <row r="789" spans="1:11" ht="15" customHeight="1">
      <c r="A789" s="61" t="s">
        <v>1091</v>
      </c>
      <c r="B789" s="381"/>
      <c r="C789" s="381"/>
      <c r="D789" s="107" t="s">
        <v>1090</v>
      </c>
      <c r="E789" s="382"/>
      <c r="F789" s="382"/>
      <c r="G789" s="382"/>
      <c r="H789" s="382"/>
      <c r="I789" s="382"/>
      <c r="J789" s="382"/>
    </row>
    <row r="790" spans="1:11" s="100" customFormat="1" ht="15.95" customHeight="1" outlineLevel="1">
      <c r="A790" s="138" t="s">
        <v>1092</v>
      </c>
      <c r="B790" s="5">
        <v>97644</v>
      </c>
      <c r="C790" s="5" t="s">
        <v>18</v>
      </c>
      <c r="D790" s="106" t="s">
        <v>463</v>
      </c>
      <c r="E790" s="109" t="s">
        <v>116</v>
      </c>
      <c r="F790" s="64">
        <f>2.1*0.9*2</f>
        <v>3.7800000000000002</v>
      </c>
      <c r="G790" s="116"/>
      <c r="H790" s="241">
        <f>TRUNC((G790*(1+$I$12)),2)</f>
        <v>0</v>
      </c>
      <c r="I790" s="117">
        <f>ROUND((F790*H790),2)</f>
        <v>0</v>
      </c>
      <c r="J790" s="246" t="e">
        <f t="shared" ref="J790:J828" si="196">(I790/$I$1421)</f>
        <v>#DIV/0!</v>
      </c>
    </row>
    <row r="791" spans="1:11" s="100" customFormat="1" ht="27" outlineLevel="1">
      <c r="A791" s="138" t="s">
        <v>1818</v>
      </c>
      <c r="B791" s="5">
        <v>97640</v>
      </c>
      <c r="C791" s="5" t="s">
        <v>18</v>
      </c>
      <c r="D791" s="106" t="s">
        <v>1797</v>
      </c>
      <c r="E791" s="109" t="s">
        <v>116</v>
      </c>
      <c r="F791" s="64">
        <v>23.4</v>
      </c>
      <c r="G791" s="137"/>
      <c r="H791" s="241">
        <f>TRUNC((G791*(1+$I$12)),2)</f>
        <v>0</v>
      </c>
      <c r="I791" s="117">
        <f t="shared" ref="I791:I828" si="197">ROUND((F791*H791),2)</f>
        <v>0</v>
      </c>
      <c r="J791" s="246" t="e">
        <f t="shared" si="196"/>
        <v>#DIV/0!</v>
      </c>
    </row>
    <row r="792" spans="1:11" s="100" customFormat="1" ht="27" outlineLevel="1">
      <c r="A792" s="138" t="s">
        <v>1093</v>
      </c>
      <c r="B792" s="63">
        <v>97660</v>
      </c>
      <c r="C792" s="63" t="s">
        <v>18</v>
      </c>
      <c r="D792" s="65" t="s">
        <v>1798</v>
      </c>
      <c r="E792" s="66" t="s">
        <v>221</v>
      </c>
      <c r="F792" s="64">
        <v>3</v>
      </c>
      <c r="G792" s="243"/>
      <c r="H792" s="241">
        <f>TRUNC((G792*(1+$I$12)),2)</f>
        <v>0</v>
      </c>
      <c r="I792" s="117">
        <f t="shared" si="197"/>
        <v>0</v>
      </c>
      <c r="J792" s="246" t="e">
        <f t="shared" si="196"/>
        <v>#DIV/0!</v>
      </c>
    </row>
    <row r="793" spans="1:11" s="100" customFormat="1" ht="15.75" customHeight="1" outlineLevel="1">
      <c r="A793" s="138" t="s">
        <v>1094</v>
      </c>
      <c r="B793" s="63">
        <v>97665</v>
      </c>
      <c r="C793" s="63" t="s">
        <v>18</v>
      </c>
      <c r="D793" s="65" t="s">
        <v>1799</v>
      </c>
      <c r="E793" s="66" t="s">
        <v>221</v>
      </c>
      <c r="F793" s="64">
        <v>3</v>
      </c>
      <c r="G793" s="243"/>
      <c r="H793" s="241">
        <f>TRUNC((G793*(1+$I$12)),2)</f>
        <v>0</v>
      </c>
      <c r="I793" s="117">
        <f t="shared" si="197"/>
        <v>0</v>
      </c>
      <c r="J793" s="246" t="e">
        <f t="shared" si="196"/>
        <v>#DIV/0!</v>
      </c>
    </row>
    <row r="794" spans="1:11" s="100" customFormat="1" ht="15.95" customHeight="1" outlineLevel="1">
      <c r="A794" s="138" t="s">
        <v>1095</v>
      </c>
      <c r="B794" s="101" t="s">
        <v>984</v>
      </c>
      <c r="C794" s="101" t="s">
        <v>7</v>
      </c>
      <c r="D794" s="102" t="s">
        <v>983</v>
      </c>
      <c r="E794" s="118" t="s">
        <v>221</v>
      </c>
      <c r="F794" s="80">
        <v>3</v>
      </c>
      <c r="G794" s="119"/>
      <c r="H794" s="249">
        <f>TRUNC((G794*(1+$I$12)),2)</f>
        <v>0</v>
      </c>
      <c r="I794" s="117">
        <f t="shared" si="197"/>
        <v>0</v>
      </c>
      <c r="J794" s="246" t="e">
        <f t="shared" si="196"/>
        <v>#DIV/0!</v>
      </c>
    </row>
    <row r="795" spans="1:11" s="100" customFormat="1" ht="15.75" customHeight="1" outlineLevel="1">
      <c r="A795" s="138" t="s">
        <v>1096</v>
      </c>
      <c r="B795" s="63" t="s">
        <v>385</v>
      </c>
      <c r="C795" s="63" t="s">
        <v>9</v>
      </c>
      <c r="D795" s="65" t="s">
        <v>384</v>
      </c>
      <c r="E795" s="66" t="s">
        <v>116</v>
      </c>
      <c r="F795" s="64">
        <v>30.97</v>
      </c>
      <c r="G795" s="249" t="s">
        <v>10</v>
      </c>
      <c r="H795" s="249"/>
      <c r="I795" s="117">
        <f t="shared" si="197"/>
        <v>0</v>
      </c>
      <c r="J795" s="246" t="e">
        <f t="shared" si="196"/>
        <v>#DIV/0!</v>
      </c>
    </row>
    <row r="796" spans="1:11" s="100" customFormat="1" ht="15.95" customHeight="1" outlineLevel="1">
      <c r="A796" s="138" t="s">
        <v>1097</v>
      </c>
      <c r="B796" s="63" t="s">
        <v>120</v>
      </c>
      <c r="C796" s="63" t="s">
        <v>7</v>
      </c>
      <c r="D796" s="65" t="s">
        <v>121</v>
      </c>
      <c r="E796" s="66" t="s">
        <v>116</v>
      </c>
      <c r="F796" s="64">
        <v>23.68</v>
      </c>
      <c r="G796" s="249"/>
      <c r="H796" s="249">
        <f t="shared" ref="H796:H806" si="198">TRUNC((G796*(1+$I$12)),2)</f>
        <v>0</v>
      </c>
      <c r="I796" s="117">
        <f t="shared" si="197"/>
        <v>0</v>
      </c>
      <c r="J796" s="246" t="e">
        <f t="shared" si="196"/>
        <v>#DIV/0!</v>
      </c>
    </row>
    <row r="797" spans="1:11" s="100" customFormat="1" ht="15.95" customHeight="1" outlineLevel="1">
      <c r="A797" s="138" t="s">
        <v>1098</v>
      </c>
      <c r="B797" s="63" t="s">
        <v>480</v>
      </c>
      <c r="C797" s="63" t="s">
        <v>7</v>
      </c>
      <c r="D797" s="65" t="s">
        <v>479</v>
      </c>
      <c r="E797" s="66" t="s">
        <v>221</v>
      </c>
      <c r="F797" s="64">
        <v>7</v>
      </c>
      <c r="G797" s="249"/>
      <c r="H797" s="249">
        <f t="shared" si="198"/>
        <v>0</v>
      </c>
      <c r="I797" s="117">
        <f t="shared" si="197"/>
        <v>0</v>
      </c>
      <c r="J797" s="246" t="e">
        <f t="shared" si="196"/>
        <v>#DIV/0!</v>
      </c>
    </row>
    <row r="798" spans="1:11" s="100" customFormat="1" ht="15.95" customHeight="1" outlineLevel="1">
      <c r="A798" s="138" t="s">
        <v>1099</v>
      </c>
      <c r="B798" s="63">
        <v>97664</v>
      </c>
      <c r="C798" s="63" t="s">
        <v>18</v>
      </c>
      <c r="D798" s="65" t="s">
        <v>482</v>
      </c>
      <c r="E798" s="66" t="s">
        <v>221</v>
      </c>
      <c r="F798" s="64">
        <v>3</v>
      </c>
      <c r="G798" s="249"/>
      <c r="H798" s="249">
        <f t="shared" si="198"/>
        <v>0</v>
      </c>
      <c r="I798" s="117">
        <f t="shared" si="197"/>
        <v>0</v>
      </c>
      <c r="J798" s="246" t="e">
        <f t="shared" si="196"/>
        <v>#DIV/0!</v>
      </c>
    </row>
    <row r="799" spans="1:11" s="100" customFormat="1" ht="31.5" customHeight="1" outlineLevel="1">
      <c r="A799" s="138" t="s">
        <v>1100</v>
      </c>
      <c r="B799" s="103" t="s">
        <v>478</v>
      </c>
      <c r="C799" s="103" t="s">
        <v>7</v>
      </c>
      <c r="D799" s="257" t="s">
        <v>930</v>
      </c>
      <c r="E799" s="87" t="s">
        <v>218</v>
      </c>
      <c r="F799" s="80">
        <v>2.5</v>
      </c>
      <c r="G799" s="139"/>
      <c r="H799" s="124">
        <f t="shared" si="198"/>
        <v>0</v>
      </c>
      <c r="I799" s="117">
        <f t="shared" si="197"/>
        <v>0</v>
      </c>
      <c r="J799" s="246" t="e">
        <f t="shared" si="196"/>
        <v>#DIV/0!</v>
      </c>
    </row>
    <row r="800" spans="1:11" s="100" customFormat="1" ht="40.5" outlineLevel="1">
      <c r="A800" s="138" t="s">
        <v>1101</v>
      </c>
      <c r="B800" s="63">
        <v>100983</v>
      </c>
      <c r="C800" s="63" t="s">
        <v>18</v>
      </c>
      <c r="D800" s="65" t="s">
        <v>1896</v>
      </c>
      <c r="E800" s="86" t="s">
        <v>218</v>
      </c>
      <c r="F800" s="80">
        <f>(0.2+0.08+0.7+0.01+0.03+0.06+0.08+0.01+0.01+2.37+1.17+2.5)*1.3</f>
        <v>9.386000000000001</v>
      </c>
      <c r="G800" s="124"/>
      <c r="H800" s="350">
        <f t="shared" si="198"/>
        <v>0</v>
      </c>
      <c r="I800" s="117">
        <f t="shared" si="197"/>
        <v>0</v>
      </c>
      <c r="J800" s="231" t="e">
        <f t="shared" si="196"/>
        <v>#DIV/0!</v>
      </c>
    </row>
    <row r="801" spans="1:11" s="100" customFormat="1" ht="27" outlineLevel="1">
      <c r="A801" s="138" t="s">
        <v>1102</v>
      </c>
      <c r="B801" s="63">
        <v>95875</v>
      </c>
      <c r="C801" s="63" t="s">
        <v>18</v>
      </c>
      <c r="D801" s="65" t="s">
        <v>1898</v>
      </c>
      <c r="E801" s="86" t="s">
        <v>1897</v>
      </c>
      <c r="F801" s="80">
        <f>F800*4</f>
        <v>37.544000000000004</v>
      </c>
      <c r="G801" s="124"/>
      <c r="H801" s="350">
        <f t="shared" si="198"/>
        <v>0</v>
      </c>
      <c r="I801" s="117">
        <f t="shared" si="197"/>
        <v>0</v>
      </c>
      <c r="J801" s="231" t="e">
        <f t="shared" si="196"/>
        <v>#DIV/0!</v>
      </c>
    </row>
    <row r="802" spans="1:11" s="71" customFormat="1" ht="27" outlineLevel="1">
      <c r="A802" s="138" t="s">
        <v>1103</v>
      </c>
      <c r="B802" s="63">
        <v>103329</v>
      </c>
      <c r="C802" s="63" t="s">
        <v>18</v>
      </c>
      <c r="D802" s="254" t="s">
        <v>274</v>
      </c>
      <c r="E802" s="255" t="s">
        <v>116</v>
      </c>
      <c r="F802" s="258">
        <v>1.89</v>
      </c>
      <c r="G802" s="256"/>
      <c r="H802" s="249">
        <f t="shared" si="198"/>
        <v>0</v>
      </c>
      <c r="I802" s="117">
        <f t="shared" si="197"/>
        <v>0</v>
      </c>
      <c r="J802" s="246" t="e">
        <f t="shared" si="196"/>
        <v>#DIV/0!</v>
      </c>
      <c r="K802" s="259"/>
    </row>
    <row r="803" spans="1:11" s="157" customFormat="1" ht="27" outlineLevel="1">
      <c r="A803" s="138" t="s">
        <v>1104</v>
      </c>
      <c r="B803" s="63">
        <v>87879</v>
      </c>
      <c r="C803" s="63" t="s">
        <v>18</v>
      </c>
      <c r="D803" s="65" t="s">
        <v>275</v>
      </c>
      <c r="E803" s="66" t="s">
        <v>116</v>
      </c>
      <c r="F803" s="64">
        <v>64.42</v>
      </c>
      <c r="G803" s="249"/>
      <c r="H803" s="249">
        <f t="shared" si="198"/>
        <v>0</v>
      </c>
      <c r="I803" s="117">
        <f t="shared" si="197"/>
        <v>0</v>
      </c>
      <c r="J803" s="246" t="e">
        <f t="shared" si="196"/>
        <v>#DIV/0!</v>
      </c>
    </row>
    <row r="804" spans="1:11" s="157" customFormat="1" ht="40.5" outlineLevel="1">
      <c r="A804" s="138" t="s">
        <v>1105</v>
      </c>
      <c r="B804" s="63">
        <v>87531</v>
      </c>
      <c r="C804" s="63" t="s">
        <v>18</v>
      </c>
      <c r="D804" s="65" t="s">
        <v>976</v>
      </c>
      <c r="E804" s="66" t="s">
        <v>116</v>
      </c>
      <c r="F804" s="64">
        <v>64.42</v>
      </c>
      <c r="G804" s="249"/>
      <c r="H804" s="249">
        <f t="shared" si="198"/>
        <v>0</v>
      </c>
      <c r="I804" s="117">
        <f t="shared" si="197"/>
        <v>0</v>
      </c>
      <c r="J804" s="246" t="e">
        <f t="shared" si="196"/>
        <v>#DIV/0!</v>
      </c>
    </row>
    <row r="805" spans="1:11" s="100" customFormat="1" ht="40.5" outlineLevel="1">
      <c r="A805" s="138" t="s">
        <v>1106</v>
      </c>
      <c r="B805" s="63">
        <v>104455</v>
      </c>
      <c r="C805" s="63" t="s">
        <v>18</v>
      </c>
      <c r="D805" s="65" t="s">
        <v>485</v>
      </c>
      <c r="E805" s="66" t="s">
        <v>116</v>
      </c>
      <c r="F805" s="64">
        <v>64.42</v>
      </c>
      <c r="G805" s="249"/>
      <c r="H805" s="249">
        <f t="shared" si="198"/>
        <v>0</v>
      </c>
      <c r="I805" s="117">
        <f t="shared" si="197"/>
        <v>0</v>
      </c>
      <c r="J805" s="246" t="e">
        <f t="shared" si="196"/>
        <v>#DIV/0!</v>
      </c>
    </row>
    <row r="806" spans="1:11" s="157" customFormat="1" ht="27" outlineLevel="1">
      <c r="A806" s="138" t="s">
        <v>1107</v>
      </c>
      <c r="B806" s="63">
        <v>97084</v>
      </c>
      <c r="C806" s="63" t="s">
        <v>18</v>
      </c>
      <c r="D806" s="65" t="s">
        <v>791</v>
      </c>
      <c r="E806" s="68" t="s">
        <v>116</v>
      </c>
      <c r="F806" s="64">
        <v>23.68</v>
      </c>
      <c r="G806" s="350"/>
      <c r="H806" s="249">
        <f t="shared" si="198"/>
        <v>0</v>
      </c>
      <c r="I806" s="117">
        <f t="shared" si="197"/>
        <v>0</v>
      </c>
      <c r="J806" s="246" t="e">
        <f t="shared" si="196"/>
        <v>#DIV/0!</v>
      </c>
    </row>
    <row r="807" spans="1:11" s="100" customFormat="1" ht="27" outlineLevel="1">
      <c r="A807" s="138" t="s">
        <v>1108</v>
      </c>
      <c r="B807" s="128">
        <v>96622</v>
      </c>
      <c r="C807" s="128" t="s">
        <v>18</v>
      </c>
      <c r="D807" s="82" t="s">
        <v>1895</v>
      </c>
      <c r="E807" s="88" t="s">
        <v>218</v>
      </c>
      <c r="F807" s="75">
        <f>F806*0.05</f>
        <v>1.1839999999999999</v>
      </c>
      <c r="G807" s="145"/>
      <c r="H807" s="249">
        <f>TRUNC((G807*(1+$I$12)),2)</f>
        <v>0</v>
      </c>
      <c r="I807" s="117">
        <f t="shared" si="197"/>
        <v>0</v>
      </c>
      <c r="J807" s="246" t="e">
        <f t="shared" si="196"/>
        <v>#DIV/0!</v>
      </c>
    </row>
    <row r="808" spans="1:11" s="100" customFormat="1" ht="27" outlineLevel="1">
      <c r="A808" s="138" t="s">
        <v>1109</v>
      </c>
      <c r="B808" s="128">
        <v>95241</v>
      </c>
      <c r="C808" s="128" t="s">
        <v>18</v>
      </c>
      <c r="D808" s="82" t="s">
        <v>1894</v>
      </c>
      <c r="E808" s="88" t="s">
        <v>116</v>
      </c>
      <c r="F808" s="75">
        <f>F806</f>
        <v>23.68</v>
      </c>
      <c r="G808" s="145"/>
      <c r="H808" s="249">
        <f>TRUNC((G808*(1+$I$12)),2)</f>
        <v>0</v>
      </c>
      <c r="I808" s="117">
        <f t="shared" si="197"/>
        <v>0</v>
      </c>
      <c r="J808" s="246" t="e">
        <f t="shared" si="196"/>
        <v>#DIV/0!</v>
      </c>
    </row>
    <row r="809" spans="1:11" s="100" customFormat="1" ht="40.5" outlineLevel="1">
      <c r="A809" s="138" t="s">
        <v>1110</v>
      </c>
      <c r="B809" s="63">
        <v>104162</v>
      </c>
      <c r="C809" s="63" t="s">
        <v>18</v>
      </c>
      <c r="D809" s="65" t="s">
        <v>387</v>
      </c>
      <c r="E809" s="66" t="s">
        <v>116</v>
      </c>
      <c r="F809" s="64">
        <v>23.68</v>
      </c>
      <c r="G809" s="252"/>
      <c r="H809" s="249">
        <f t="shared" ref="H809:H816" si="199">TRUNC((G809*(1+$I$12)),2)</f>
        <v>0</v>
      </c>
      <c r="I809" s="117">
        <f t="shared" si="197"/>
        <v>0</v>
      </c>
      <c r="J809" s="246" t="e">
        <f t="shared" si="196"/>
        <v>#DIV/0!</v>
      </c>
      <c r="K809" s="100">
        <f>((2*2.1*0.15)+(0.9*0.15))</f>
        <v>0.76500000000000001</v>
      </c>
    </row>
    <row r="810" spans="1:11" s="100" customFormat="1" ht="15.95" customHeight="1" outlineLevel="1">
      <c r="A810" s="138" t="s">
        <v>1111</v>
      </c>
      <c r="B810" s="63">
        <v>101741</v>
      </c>
      <c r="C810" s="63" t="s">
        <v>18</v>
      </c>
      <c r="D810" s="65" t="s">
        <v>388</v>
      </c>
      <c r="E810" s="66" t="s">
        <v>115</v>
      </c>
      <c r="F810" s="64">
        <v>26.35</v>
      </c>
      <c r="G810" s="252"/>
      <c r="H810" s="249">
        <f t="shared" si="199"/>
        <v>0</v>
      </c>
      <c r="I810" s="117">
        <f t="shared" si="197"/>
        <v>0</v>
      </c>
      <c r="J810" s="246" t="e">
        <f t="shared" si="196"/>
        <v>#DIV/0!</v>
      </c>
      <c r="K810" s="100">
        <f>(((13.75*2.76))-((0.9*2.1)+(3.4*1.5)))</f>
        <v>30.959999999999994</v>
      </c>
    </row>
    <row r="811" spans="1:11" s="100" customFormat="1" ht="27" outlineLevel="1">
      <c r="A811" s="138" t="s">
        <v>1112</v>
      </c>
      <c r="B811" s="63">
        <v>96116</v>
      </c>
      <c r="C811" s="63" t="s">
        <v>18</v>
      </c>
      <c r="D811" s="65" t="s">
        <v>593</v>
      </c>
      <c r="E811" s="66" t="s">
        <v>116</v>
      </c>
      <c r="F811" s="64">
        <v>23.4</v>
      </c>
      <c r="G811" s="252"/>
      <c r="H811" s="249">
        <f t="shared" si="199"/>
        <v>0</v>
      </c>
      <c r="I811" s="117">
        <f t="shared" si="197"/>
        <v>0</v>
      </c>
      <c r="J811" s="246" t="e">
        <f t="shared" si="196"/>
        <v>#DIV/0!</v>
      </c>
    </row>
    <row r="812" spans="1:11" s="100" customFormat="1" ht="19.5" customHeight="1" outlineLevel="1">
      <c r="A812" s="138" t="s">
        <v>1113</v>
      </c>
      <c r="B812" s="63" t="s">
        <v>10</v>
      </c>
      <c r="C812" s="63" t="str">
        <f>[1]Composições!$I$114</f>
        <v>COMP08</v>
      </c>
      <c r="D812" s="65" t="str">
        <f>[1]Composições!$B$114</f>
        <v>REQUADRO DE PORTAS E JANELAS</v>
      </c>
      <c r="E812" s="66" t="s">
        <v>116</v>
      </c>
      <c r="F812" s="64">
        <v>0.77</v>
      </c>
      <c r="G812" s="339"/>
      <c r="H812" s="337">
        <f t="shared" si="199"/>
        <v>0</v>
      </c>
      <c r="I812" s="117">
        <f t="shared" si="197"/>
        <v>0</v>
      </c>
      <c r="J812" s="246" t="e">
        <f t="shared" si="196"/>
        <v>#DIV/0!</v>
      </c>
    </row>
    <row r="813" spans="1:11" s="100" customFormat="1" ht="40.5" outlineLevel="1">
      <c r="A813" s="138" t="s">
        <v>1114</v>
      </c>
      <c r="B813" s="63">
        <v>90844</v>
      </c>
      <c r="C813" s="63" t="s">
        <v>18</v>
      </c>
      <c r="D813" s="65" t="s">
        <v>392</v>
      </c>
      <c r="E813" s="66" t="s">
        <v>221</v>
      </c>
      <c r="F813" s="64">
        <v>2</v>
      </c>
      <c r="G813" s="252"/>
      <c r="H813" s="249">
        <f t="shared" si="199"/>
        <v>0</v>
      </c>
      <c r="I813" s="117">
        <f t="shared" si="197"/>
        <v>0</v>
      </c>
      <c r="J813" s="246" t="e">
        <f t="shared" si="196"/>
        <v>#DIV/0!</v>
      </c>
      <c r="K813" s="100">
        <f>((28.1*1)-(0.9*1))</f>
        <v>27.200000000000003</v>
      </c>
    </row>
    <row r="814" spans="1:11" s="100" customFormat="1" ht="27" outlineLevel="1">
      <c r="A814" s="138" t="s">
        <v>1115</v>
      </c>
      <c r="B814" s="63">
        <v>102219</v>
      </c>
      <c r="C814" s="63" t="s">
        <v>18</v>
      </c>
      <c r="D814" s="65" t="s">
        <v>600</v>
      </c>
      <c r="E814" s="66" t="s">
        <v>116</v>
      </c>
      <c r="F814" s="64">
        <v>11.34</v>
      </c>
      <c r="G814" s="137"/>
      <c r="H814" s="117">
        <f t="shared" si="199"/>
        <v>0</v>
      </c>
      <c r="I814" s="117">
        <f t="shared" si="197"/>
        <v>0</v>
      </c>
      <c r="J814" s="246" t="e">
        <f t="shared" si="196"/>
        <v>#DIV/0!</v>
      </c>
    </row>
    <row r="815" spans="1:11" s="100" customFormat="1" ht="40.5" outlineLevel="1">
      <c r="A815" s="138" t="s">
        <v>1116</v>
      </c>
      <c r="B815" s="103">
        <v>94559</v>
      </c>
      <c r="C815" s="103" t="s">
        <v>18</v>
      </c>
      <c r="D815" s="65" t="s">
        <v>981</v>
      </c>
      <c r="E815" s="66" t="s">
        <v>116</v>
      </c>
      <c r="F815" s="64">
        <v>0.48</v>
      </c>
      <c r="G815" s="147"/>
      <c r="H815" s="117">
        <f t="shared" si="199"/>
        <v>0</v>
      </c>
      <c r="I815" s="117">
        <f t="shared" si="197"/>
        <v>0</v>
      </c>
      <c r="J815" s="246" t="e">
        <f t="shared" si="196"/>
        <v>#DIV/0!</v>
      </c>
    </row>
    <row r="816" spans="1:11" s="100" customFormat="1" ht="27.75" customHeight="1" outlineLevel="1">
      <c r="A816" s="138" t="s">
        <v>1117</v>
      </c>
      <c r="B816" s="103">
        <v>100860</v>
      </c>
      <c r="C816" s="103" t="s">
        <v>18</v>
      </c>
      <c r="D816" s="85" t="s">
        <v>982</v>
      </c>
      <c r="E816" s="86" t="s">
        <v>221</v>
      </c>
      <c r="F816" s="80">
        <v>2</v>
      </c>
      <c r="G816" s="139"/>
      <c r="H816" s="120">
        <f t="shared" si="199"/>
        <v>0</v>
      </c>
      <c r="I816" s="117">
        <f t="shared" si="197"/>
        <v>0</v>
      </c>
      <c r="J816" s="246" t="e">
        <f t="shared" si="196"/>
        <v>#DIV/0!</v>
      </c>
    </row>
    <row r="817" spans="1:11" s="100" customFormat="1" ht="27" outlineLevel="1">
      <c r="A817" s="138" t="s">
        <v>1118</v>
      </c>
      <c r="B817" s="63">
        <v>95470</v>
      </c>
      <c r="C817" s="63" t="s">
        <v>18</v>
      </c>
      <c r="D817" s="65" t="s">
        <v>487</v>
      </c>
      <c r="E817" s="66" t="s">
        <v>221</v>
      </c>
      <c r="F817" s="64">
        <v>3</v>
      </c>
      <c r="G817" s="249"/>
      <c r="H817" s="121">
        <f t="shared" ref="H817:H823" si="200">TRUNC((G817*(1+$I$12)),2)</f>
        <v>0</v>
      </c>
      <c r="I817" s="117">
        <f t="shared" si="197"/>
        <v>0</v>
      </c>
      <c r="J817" s="246" t="e">
        <f t="shared" si="196"/>
        <v>#DIV/0!</v>
      </c>
    </row>
    <row r="818" spans="1:11" s="100" customFormat="1" outlineLevel="1">
      <c r="A818" s="138" t="s">
        <v>1119</v>
      </c>
      <c r="B818" s="63">
        <v>100858</v>
      </c>
      <c r="C818" s="63" t="s">
        <v>18</v>
      </c>
      <c r="D818" s="65" t="s">
        <v>488</v>
      </c>
      <c r="E818" s="66" t="s">
        <v>221</v>
      </c>
      <c r="F818" s="64">
        <v>2</v>
      </c>
      <c r="G818" s="249"/>
      <c r="H818" s="121">
        <f t="shared" si="200"/>
        <v>0</v>
      </c>
      <c r="I818" s="117">
        <f t="shared" si="197"/>
        <v>0</v>
      </c>
      <c r="J818" s="246" t="e">
        <f t="shared" si="196"/>
        <v>#DIV/0!</v>
      </c>
    </row>
    <row r="819" spans="1:11" s="100" customFormat="1" outlineLevel="1">
      <c r="A819" s="138" t="s">
        <v>1120</v>
      </c>
      <c r="B819" s="63" t="s">
        <v>1180</v>
      </c>
      <c r="C819" s="63" t="s">
        <v>7</v>
      </c>
      <c r="D819" s="65" t="s">
        <v>1179</v>
      </c>
      <c r="E819" s="66" t="s">
        <v>116</v>
      </c>
      <c r="F819" s="69">
        <v>1.26</v>
      </c>
      <c r="G819" s="249"/>
      <c r="H819" s="121">
        <f t="shared" si="200"/>
        <v>0</v>
      </c>
      <c r="I819" s="117">
        <f t="shared" si="197"/>
        <v>0</v>
      </c>
      <c r="J819" s="246" t="e">
        <f t="shared" si="196"/>
        <v>#DIV/0!</v>
      </c>
    </row>
    <row r="820" spans="1:11" s="100" customFormat="1" ht="27" outlineLevel="1">
      <c r="A820" s="138" t="s">
        <v>1121</v>
      </c>
      <c r="B820" s="128">
        <v>86937</v>
      </c>
      <c r="C820" s="128" t="s">
        <v>18</v>
      </c>
      <c r="D820" s="82" t="s">
        <v>1181</v>
      </c>
      <c r="E820" s="66" t="s">
        <v>221</v>
      </c>
      <c r="F820" s="75">
        <v>3</v>
      </c>
      <c r="G820" s="84"/>
      <c r="H820" s="121">
        <f t="shared" si="200"/>
        <v>0</v>
      </c>
      <c r="I820" s="117">
        <f t="shared" si="197"/>
        <v>0</v>
      </c>
      <c r="J820" s="246" t="e">
        <f t="shared" si="196"/>
        <v>#DIV/0!</v>
      </c>
    </row>
    <row r="821" spans="1:11" s="100" customFormat="1" ht="27" outlineLevel="1">
      <c r="A821" s="138" t="s">
        <v>1122</v>
      </c>
      <c r="B821" s="128">
        <v>86903</v>
      </c>
      <c r="C821" s="128" t="s">
        <v>18</v>
      </c>
      <c r="D821" s="82" t="s">
        <v>486</v>
      </c>
      <c r="E821" s="83" t="s">
        <v>221</v>
      </c>
      <c r="F821" s="75">
        <v>1</v>
      </c>
      <c r="G821" s="84"/>
      <c r="H821" s="263">
        <f t="shared" si="200"/>
        <v>0</v>
      </c>
      <c r="I821" s="117">
        <f t="shared" si="197"/>
        <v>0</v>
      </c>
      <c r="J821" s="246" t="e">
        <f t="shared" si="196"/>
        <v>#DIV/0!</v>
      </c>
    </row>
    <row r="822" spans="1:11" s="100" customFormat="1" ht="27" outlineLevel="1">
      <c r="A822" s="138" t="s">
        <v>1123</v>
      </c>
      <c r="B822" s="63">
        <v>102257</v>
      </c>
      <c r="C822" s="63" t="s">
        <v>18</v>
      </c>
      <c r="D822" s="65" t="s">
        <v>483</v>
      </c>
      <c r="E822" s="66" t="s">
        <v>116</v>
      </c>
      <c r="F822" s="64">
        <v>12.06</v>
      </c>
      <c r="G822" s="376"/>
      <c r="H822" s="121">
        <f t="shared" si="200"/>
        <v>0</v>
      </c>
      <c r="I822" s="117">
        <f t="shared" si="197"/>
        <v>0</v>
      </c>
      <c r="J822" s="246" t="e">
        <f t="shared" si="196"/>
        <v>#DIV/0!</v>
      </c>
    </row>
    <row r="823" spans="1:11" s="100" customFormat="1" outlineLevel="1">
      <c r="A823" s="138" t="s">
        <v>1124</v>
      </c>
      <c r="B823" s="63" t="s">
        <v>1081</v>
      </c>
      <c r="C823" s="63" t="s">
        <v>7</v>
      </c>
      <c r="D823" s="65" t="s">
        <v>1080</v>
      </c>
      <c r="E823" s="66" t="s">
        <v>116</v>
      </c>
      <c r="F823" s="64">
        <v>4.32</v>
      </c>
      <c r="G823" s="249"/>
      <c r="H823" s="121">
        <f t="shared" si="200"/>
        <v>0</v>
      </c>
      <c r="I823" s="117">
        <f t="shared" si="197"/>
        <v>0</v>
      </c>
      <c r="J823" s="246" t="e">
        <f t="shared" si="196"/>
        <v>#DIV/0!</v>
      </c>
      <c r="K823" s="100">
        <v>40.886999999999993</v>
      </c>
    </row>
    <row r="824" spans="1:11" s="100" customFormat="1" ht="15" customHeight="1" outlineLevel="1">
      <c r="A824" s="138" t="s">
        <v>1125</v>
      </c>
      <c r="B824" s="63" t="s">
        <v>11</v>
      </c>
      <c r="C824" s="63" t="s">
        <v>9</v>
      </c>
      <c r="D824" s="65" t="s">
        <v>398</v>
      </c>
      <c r="E824" s="66" t="s">
        <v>116</v>
      </c>
      <c r="F824" s="64">
        <v>1.44</v>
      </c>
      <c r="G824" s="252" t="s">
        <v>10</v>
      </c>
      <c r="H824" s="121"/>
      <c r="I824" s="117">
        <f t="shared" si="197"/>
        <v>0</v>
      </c>
      <c r="J824" s="246" t="e">
        <f t="shared" si="196"/>
        <v>#DIV/0!</v>
      </c>
    </row>
    <row r="825" spans="1:11" s="100" customFormat="1" ht="27" outlineLevel="1">
      <c r="A825" s="138" t="s">
        <v>1126</v>
      </c>
      <c r="B825" s="63">
        <v>89957</v>
      </c>
      <c r="C825" s="63" t="s">
        <v>18</v>
      </c>
      <c r="D825" s="65" t="s">
        <v>1082</v>
      </c>
      <c r="E825" s="66" t="s">
        <v>221</v>
      </c>
      <c r="F825" s="64">
        <v>6</v>
      </c>
      <c r="G825" s="249"/>
      <c r="H825" s="121">
        <f>TRUNC((G825*(1+$I$12)),2)</f>
        <v>0</v>
      </c>
      <c r="I825" s="117">
        <f t="shared" si="197"/>
        <v>0</v>
      </c>
      <c r="J825" s="246" t="e">
        <f t="shared" si="196"/>
        <v>#DIV/0!</v>
      </c>
    </row>
    <row r="826" spans="1:11" s="100" customFormat="1" ht="27" outlineLevel="1">
      <c r="A826" s="138" t="s">
        <v>1127</v>
      </c>
      <c r="B826" s="103">
        <v>89712</v>
      </c>
      <c r="C826" s="103" t="s">
        <v>18</v>
      </c>
      <c r="D826" s="85" t="s">
        <v>1084</v>
      </c>
      <c r="E826" s="86" t="s">
        <v>115</v>
      </c>
      <c r="F826" s="80">
        <v>3</v>
      </c>
      <c r="G826" s="124"/>
      <c r="H826" s="125">
        <f>TRUNC((G826*(1+$I$12)),2)</f>
        <v>0</v>
      </c>
      <c r="I826" s="117">
        <f t="shared" si="197"/>
        <v>0</v>
      </c>
      <c r="J826" s="246" t="e">
        <f t="shared" si="196"/>
        <v>#DIV/0!</v>
      </c>
    </row>
    <row r="827" spans="1:11" s="100" customFormat="1" ht="27" outlineLevel="1">
      <c r="A827" s="138" t="s">
        <v>1182</v>
      </c>
      <c r="B827" s="63">
        <v>89714</v>
      </c>
      <c r="C827" s="63" t="s">
        <v>18</v>
      </c>
      <c r="D827" s="65" t="s">
        <v>1085</v>
      </c>
      <c r="E827" s="66" t="s">
        <v>115</v>
      </c>
      <c r="F827" s="64">
        <v>6</v>
      </c>
      <c r="G827" s="249"/>
      <c r="H827" s="121">
        <f>TRUNC((G827*(1+$I$12)),2)</f>
        <v>0</v>
      </c>
      <c r="I827" s="117">
        <f t="shared" si="197"/>
        <v>0</v>
      </c>
      <c r="J827" s="246" t="e">
        <f t="shared" si="196"/>
        <v>#DIV/0!</v>
      </c>
    </row>
    <row r="828" spans="1:11" s="100" customFormat="1" ht="15" customHeight="1" outlineLevel="1">
      <c r="A828" s="138" t="s">
        <v>1939</v>
      </c>
      <c r="B828" s="63" t="s">
        <v>1089</v>
      </c>
      <c r="C828" s="63" t="s">
        <v>9</v>
      </c>
      <c r="D828" s="65" t="s">
        <v>1088</v>
      </c>
      <c r="E828" s="66" t="s">
        <v>221</v>
      </c>
      <c r="F828" s="64">
        <v>1</v>
      </c>
      <c r="G828" s="249" t="s">
        <v>10</v>
      </c>
      <c r="H828" s="121"/>
      <c r="I828" s="117">
        <f t="shared" si="197"/>
        <v>0</v>
      </c>
      <c r="J828" s="246" t="e">
        <f t="shared" si="196"/>
        <v>#DIV/0!</v>
      </c>
    </row>
    <row r="829" spans="1:11" s="157" customFormat="1">
      <c r="A829" s="387" t="s">
        <v>1130</v>
      </c>
      <c r="B829" s="387"/>
      <c r="C829" s="387"/>
      <c r="D829" s="387"/>
      <c r="E829" s="387"/>
      <c r="F829" s="387"/>
      <c r="G829" s="387"/>
      <c r="H829" s="387"/>
      <c r="I829" s="175">
        <f>SUM(I790:I828)</f>
        <v>0</v>
      </c>
      <c r="J829" s="159" t="e">
        <f>SUM(J790:J828)</f>
        <v>#DIV/0!</v>
      </c>
      <c r="K829" s="318" t="e">
        <f>I829/$I$944</f>
        <v>#DIV/0!</v>
      </c>
    </row>
    <row r="830" spans="1:11" ht="15" customHeight="1">
      <c r="A830" s="61" t="s">
        <v>1177</v>
      </c>
      <c r="B830" s="381"/>
      <c r="C830" s="381"/>
      <c r="D830" s="107" t="s">
        <v>1178</v>
      </c>
      <c r="E830" s="382"/>
      <c r="F830" s="382"/>
      <c r="G830" s="382"/>
      <c r="H830" s="382"/>
      <c r="I830" s="382"/>
      <c r="J830" s="382"/>
    </row>
    <row r="831" spans="1:11" s="100" customFormat="1" ht="15.95" customHeight="1" outlineLevel="1">
      <c r="A831" s="63" t="s">
        <v>1186</v>
      </c>
      <c r="B831" s="63" t="s">
        <v>32</v>
      </c>
      <c r="C831" s="63" t="s">
        <v>9</v>
      </c>
      <c r="D831" s="65" t="s">
        <v>598</v>
      </c>
      <c r="E831" s="68" t="s">
        <v>218</v>
      </c>
      <c r="F831" s="64">
        <v>18.07</v>
      </c>
      <c r="G831" s="249" t="s">
        <v>10</v>
      </c>
      <c r="H831" s="124"/>
      <c r="I831" s="249">
        <f t="shared" ref="I831:I867" si="201">ROUND((F831*H831),2)</f>
        <v>0</v>
      </c>
      <c r="J831" s="248" t="e">
        <f t="shared" ref="J831:J867" si="202">(I831/$I$1421)</f>
        <v>#DIV/0!</v>
      </c>
    </row>
    <row r="832" spans="1:11" s="100" customFormat="1" ht="30" customHeight="1" outlineLevel="1">
      <c r="A832" s="63" t="s">
        <v>1187</v>
      </c>
      <c r="B832" s="103" t="s">
        <v>478</v>
      </c>
      <c r="C832" s="103" t="s">
        <v>7</v>
      </c>
      <c r="D832" s="257" t="s">
        <v>930</v>
      </c>
      <c r="E832" s="87" t="s">
        <v>218</v>
      </c>
      <c r="F832" s="80">
        <v>0.35</v>
      </c>
      <c r="G832" s="139"/>
      <c r="H832" s="124">
        <f t="shared" ref="H832" si="203">TRUNC((G832*(1+$I$12)),2)</f>
        <v>0</v>
      </c>
      <c r="I832" s="249">
        <f t="shared" si="201"/>
        <v>0</v>
      </c>
      <c r="J832" s="248" t="e">
        <f t="shared" si="202"/>
        <v>#DIV/0!</v>
      </c>
    </row>
    <row r="833" spans="1:11" s="166" customFormat="1" ht="27" outlineLevel="1">
      <c r="A833" s="63" t="s">
        <v>1188</v>
      </c>
      <c r="B833" s="63">
        <v>97660</v>
      </c>
      <c r="C833" s="63" t="s">
        <v>18</v>
      </c>
      <c r="D833" s="65" t="s">
        <v>1798</v>
      </c>
      <c r="E833" s="66" t="s">
        <v>221</v>
      </c>
      <c r="F833" s="69">
        <v>5</v>
      </c>
      <c r="G833" s="98"/>
      <c r="H833" s="98">
        <f>TRUNC((G833*(1+$I$12)),2)</f>
        <v>0</v>
      </c>
      <c r="I833" s="249">
        <f t="shared" si="201"/>
        <v>0</v>
      </c>
      <c r="J833" s="248" t="e">
        <f t="shared" si="202"/>
        <v>#DIV/0!</v>
      </c>
    </row>
    <row r="834" spans="1:11" s="166" customFormat="1" ht="15.75" customHeight="1" outlineLevel="1">
      <c r="A834" s="63" t="s">
        <v>1189</v>
      </c>
      <c r="B834" s="63">
        <v>97665</v>
      </c>
      <c r="C834" s="63" t="s">
        <v>18</v>
      </c>
      <c r="D834" s="65" t="s">
        <v>1799</v>
      </c>
      <c r="E834" s="66" t="s">
        <v>221</v>
      </c>
      <c r="F834" s="69">
        <v>6</v>
      </c>
      <c r="G834" s="98"/>
      <c r="H834" s="98">
        <f>TRUNC((G834*(1+$I$12)),2)</f>
        <v>0</v>
      </c>
      <c r="I834" s="249">
        <f t="shared" si="201"/>
        <v>0</v>
      </c>
      <c r="J834" s="248" t="e">
        <f t="shared" si="202"/>
        <v>#DIV/0!</v>
      </c>
    </row>
    <row r="835" spans="1:11" s="166" customFormat="1" ht="15.95" customHeight="1" outlineLevel="1">
      <c r="A835" s="63" t="s">
        <v>1190</v>
      </c>
      <c r="B835" s="264" t="s">
        <v>984</v>
      </c>
      <c r="C835" s="264" t="s">
        <v>7</v>
      </c>
      <c r="D835" s="265" t="s">
        <v>983</v>
      </c>
      <c r="E835" s="266" t="s">
        <v>221</v>
      </c>
      <c r="F835" s="69">
        <v>4</v>
      </c>
      <c r="G835" s="98"/>
      <c r="H835" s="98">
        <f>TRUNC((G835*(1+$I$12)),2)</f>
        <v>0</v>
      </c>
      <c r="I835" s="249">
        <f t="shared" si="201"/>
        <v>0</v>
      </c>
      <c r="J835" s="248" t="e">
        <f t="shared" si="202"/>
        <v>#DIV/0!</v>
      </c>
    </row>
    <row r="836" spans="1:11" s="166" customFormat="1" ht="15.75" customHeight="1" outlineLevel="1">
      <c r="A836" s="63" t="s">
        <v>1191</v>
      </c>
      <c r="B836" s="264" t="s">
        <v>385</v>
      </c>
      <c r="C836" s="264" t="s">
        <v>9</v>
      </c>
      <c r="D836" s="265" t="s">
        <v>384</v>
      </c>
      <c r="E836" s="266" t="s">
        <v>116</v>
      </c>
      <c r="F836" s="69">
        <v>2.76</v>
      </c>
      <c r="G836" s="98" t="s">
        <v>10</v>
      </c>
      <c r="H836" s="98"/>
      <c r="I836" s="249">
        <f t="shared" si="201"/>
        <v>0</v>
      </c>
      <c r="J836" s="248" t="e">
        <f t="shared" si="202"/>
        <v>#DIV/0!</v>
      </c>
    </row>
    <row r="837" spans="1:11" s="157" customFormat="1" ht="15.95" customHeight="1" outlineLevel="1">
      <c r="A837" s="63" t="s">
        <v>1192</v>
      </c>
      <c r="B837" s="63" t="s">
        <v>125</v>
      </c>
      <c r="C837" s="63" t="s">
        <v>7</v>
      </c>
      <c r="D837" s="65" t="s">
        <v>592</v>
      </c>
      <c r="E837" s="68" t="s">
        <v>116</v>
      </c>
      <c r="F837" s="64">
        <v>6.6</v>
      </c>
      <c r="G837" s="249"/>
      <c r="H837" s="249">
        <f>TRUNC((G837*(1+$I$12)),2)</f>
        <v>0</v>
      </c>
      <c r="I837" s="249">
        <f t="shared" si="201"/>
        <v>0</v>
      </c>
      <c r="J837" s="248" t="e">
        <f t="shared" si="202"/>
        <v>#DIV/0!</v>
      </c>
    </row>
    <row r="838" spans="1:11" s="166" customFormat="1" ht="15.95" customHeight="1" outlineLevel="1">
      <c r="A838" s="63" t="s">
        <v>1193</v>
      </c>
      <c r="B838" s="264">
        <v>97664</v>
      </c>
      <c r="C838" s="264" t="s">
        <v>18</v>
      </c>
      <c r="D838" s="265" t="s">
        <v>482</v>
      </c>
      <c r="E838" s="266" t="s">
        <v>221</v>
      </c>
      <c r="F838" s="69">
        <v>3</v>
      </c>
      <c r="G838" s="98"/>
      <c r="H838" s="98">
        <f t="shared" ref="H838:H856" si="204">TRUNC((G838*(1+$I$12)),2)</f>
        <v>0</v>
      </c>
      <c r="I838" s="249">
        <f t="shared" si="201"/>
        <v>0</v>
      </c>
      <c r="J838" s="248" t="e">
        <f t="shared" si="202"/>
        <v>#DIV/0!</v>
      </c>
    </row>
    <row r="839" spans="1:11" s="166" customFormat="1" ht="40.5" outlineLevel="1">
      <c r="A839" s="63" t="s">
        <v>1194</v>
      </c>
      <c r="B839" s="63">
        <v>100983</v>
      </c>
      <c r="C839" s="63" t="s">
        <v>18</v>
      </c>
      <c r="D839" s="65" t="s">
        <v>1896</v>
      </c>
      <c r="E839" s="66" t="s">
        <v>218</v>
      </c>
      <c r="F839" s="64">
        <f>(18.07+0.35+0.09+0.01+0.01+0.06+0.02)*1.3</f>
        <v>24.193000000000005</v>
      </c>
      <c r="G839" s="350"/>
      <c r="H839" s="350">
        <f t="shared" si="204"/>
        <v>0</v>
      </c>
      <c r="I839" s="121">
        <f t="shared" si="201"/>
        <v>0</v>
      </c>
      <c r="J839" s="349" t="e">
        <f t="shared" si="202"/>
        <v>#DIV/0!</v>
      </c>
    </row>
    <row r="840" spans="1:11" s="166" customFormat="1" ht="27" outlineLevel="1">
      <c r="A840" s="63" t="s">
        <v>1195</v>
      </c>
      <c r="B840" s="63">
        <v>95875</v>
      </c>
      <c r="C840" s="63" t="s">
        <v>18</v>
      </c>
      <c r="D840" s="65" t="s">
        <v>1898</v>
      </c>
      <c r="E840" s="66" t="s">
        <v>1897</v>
      </c>
      <c r="F840" s="64">
        <f>F839*4</f>
        <v>96.77200000000002</v>
      </c>
      <c r="G840" s="350"/>
      <c r="H840" s="350">
        <f t="shared" si="204"/>
        <v>0</v>
      </c>
      <c r="I840" s="121">
        <f t="shared" si="201"/>
        <v>0</v>
      </c>
      <c r="J840" s="349" t="e">
        <f t="shared" si="202"/>
        <v>#DIV/0!</v>
      </c>
    </row>
    <row r="841" spans="1:11" s="157" customFormat="1" ht="27" outlineLevel="1">
      <c r="A841" s="63" t="s">
        <v>1196</v>
      </c>
      <c r="B841" s="63" t="s">
        <v>10</v>
      </c>
      <c r="C841" s="63" t="str">
        <f>[1]Composições!$I$136</f>
        <v>COMP11</v>
      </c>
      <c r="D841" s="65" t="str">
        <f>[1]Composições!B136</f>
        <v>ESTACA BROCA DE CONCRETO, DIÂMETRO DE 25CM, ESCAVAÇÃO MANUAL COM TRADO CONCHA, INTEIRAMENTE ARMADA, INCLUSO CONCRETAGEM FCK 25 MPA. AF_05/2020</v>
      </c>
      <c r="E841" s="66" t="s">
        <v>115</v>
      </c>
      <c r="F841" s="64">
        <v>12</v>
      </c>
      <c r="G841" s="350"/>
      <c r="H841" s="350">
        <f t="shared" ref="H841:H848" si="205">TRUNC((G841*(1+$I$12)),2)</f>
        <v>0</v>
      </c>
      <c r="I841" s="350">
        <f t="shared" si="201"/>
        <v>0</v>
      </c>
      <c r="J841" s="349" t="e">
        <f t="shared" si="202"/>
        <v>#DIV/0!</v>
      </c>
    </row>
    <row r="842" spans="1:11" s="157" customFormat="1" ht="27" outlineLevel="1">
      <c r="A842" s="63" t="s">
        <v>1197</v>
      </c>
      <c r="B842" s="63">
        <v>96527</v>
      </c>
      <c r="C842" s="63" t="s">
        <v>18</v>
      </c>
      <c r="D842" s="65" t="s">
        <v>957</v>
      </c>
      <c r="E842" s="66" t="s">
        <v>218</v>
      </c>
      <c r="F842" s="64">
        <v>0.25</v>
      </c>
      <c r="G842" s="350"/>
      <c r="H842" s="350">
        <f t="shared" si="205"/>
        <v>0</v>
      </c>
      <c r="I842" s="350">
        <f t="shared" si="201"/>
        <v>0</v>
      </c>
      <c r="J842" s="349" t="e">
        <f t="shared" si="202"/>
        <v>#DIV/0!</v>
      </c>
    </row>
    <row r="843" spans="1:11" s="157" customFormat="1" ht="27" outlineLevel="1">
      <c r="A843" s="63" t="s">
        <v>1198</v>
      </c>
      <c r="B843" s="63">
        <v>96545</v>
      </c>
      <c r="C843" s="63" t="s">
        <v>18</v>
      </c>
      <c r="D843" s="65" t="s">
        <v>267</v>
      </c>
      <c r="E843" s="66" t="s">
        <v>117</v>
      </c>
      <c r="F843" s="64">
        <f>(F842)*20</f>
        <v>5</v>
      </c>
      <c r="G843" s="337"/>
      <c r="H843" s="337">
        <f t="shared" si="205"/>
        <v>0</v>
      </c>
      <c r="I843" s="337">
        <f t="shared" si="201"/>
        <v>0</v>
      </c>
      <c r="J843" s="336" t="e">
        <f t="shared" si="202"/>
        <v>#DIV/0!</v>
      </c>
    </row>
    <row r="844" spans="1:11" s="157" customFormat="1" ht="27" outlineLevel="1">
      <c r="A844" s="63" t="s">
        <v>1199</v>
      </c>
      <c r="B844" s="63" t="s">
        <v>10</v>
      </c>
      <c r="C844" s="63" t="str">
        <f>[1]Composições!$I$146</f>
        <v>COMP12</v>
      </c>
      <c r="D844" s="65" t="str">
        <f>[1]Composições!$B$146</f>
        <v>CONCRETAGEM DE BLOCOS DE COROAMENTO E VIGAS BALDRAME, FCK 25 MPA, INCLUSO LANÇAMENTO, ADENSAMENTO E ACABAMENTO. AF_06/2017</v>
      </c>
      <c r="E844" s="66" t="s">
        <v>218</v>
      </c>
      <c r="F844" s="64">
        <f>F842</f>
        <v>0.25</v>
      </c>
      <c r="G844" s="337"/>
      <c r="H844" s="337">
        <f t="shared" si="205"/>
        <v>0</v>
      </c>
      <c r="I844" s="337">
        <f t="shared" si="201"/>
        <v>0</v>
      </c>
      <c r="J844" s="336" t="e">
        <f t="shared" si="202"/>
        <v>#DIV/0!</v>
      </c>
    </row>
    <row r="845" spans="1:11" s="157" customFormat="1" ht="27" outlineLevel="1">
      <c r="A845" s="63" t="s">
        <v>1200</v>
      </c>
      <c r="B845" s="63">
        <v>92759</v>
      </c>
      <c r="C845" s="63" t="s">
        <v>18</v>
      </c>
      <c r="D845" s="65" t="s">
        <v>860</v>
      </c>
      <c r="E845" s="66" t="s">
        <v>117</v>
      </c>
      <c r="F845" s="64">
        <f>((((0.13+0.13+0.13+0.13)*10*4)/12)*1.848*1.1)</f>
        <v>3.5235200000000004</v>
      </c>
      <c r="G845" s="337"/>
      <c r="H845" s="337">
        <f t="shared" si="205"/>
        <v>0</v>
      </c>
      <c r="I845" s="337">
        <f t="shared" si="201"/>
        <v>0</v>
      </c>
      <c r="J845" s="336" t="e">
        <f t="shared" si="202"/>
        <v>#DIV/0!</v>
      </c>
      <c r="K845" s="154"/>
    </row>
    <row r="846" spans="1:11" s="157" customFormat="1" ht="27" outlineLevel="1">
      <c r="A846" s="63" t="s">
        <v>1201</v>
      </c>
      <c r="B846" s="63">
        <v>92762</v>
      </c>
      <c r="C846" s="63" t="s">
        <v>18</v>
      </c>
      <c r="D846" s="65" t="s">
        <v>857</v>
      </c>
      <c r="E846" s="66" t="s">
        <v>117</v>
      </c>
      <c r="F846" s="64">
        <f>(((1.5*4*4)/12))*7.404*1.1</f>
        <v>16.288800000000002</v>
      </c>
      <c r="G846" s="249"/>
      <c r="H846" s="249">
        <f t="shared" si="205"/>
        <v>0</v>
      </c>
      <c r="I846" s="249">
        <f t="shared" si="201"/>
        <v>0</v>
      </c>
      <c r="J846" s="248" t="e">
        <f t="shared" si="202"/>
        <v>#DIV/0!</v>
      </c>
    </row>
    <row r="847" spans="1:11" s="157" customFormat="1" ht="27" outlineLevel="1">
      <c r="A847" s="63" t="s">
        <v>1202</v>
      </c>
      <c r="B847" s="63">
        <v>92419</v>
      </c>
      <c r="C847" s="63" t="s">
        <v>18</v>
      </c>
      <c r="D847" s="65" t="s">
        <v>858</v>
      </c>
      <c r="E847" s="66" t="s">
        <v>116</v>
      </c>
      <c r="F847" s="64">
        <v>0.9</v>
      </c>
      <c r="G847" s="249"/>
      <c r="H847" s="249">
        <f t="shared" si="205"/>
        <v>0</v>
      </c>
      <c r="I847" s="249">
        <f t="shared" si="201"/>
        <v>0</v>
      </c>
      <c r="J847" s="248" t="e">
        <f t="shared" si="202"/>
        <v>#DIV/0!</v>
      </c>
    </row>
    <row r="848" spans="1:11" s="157" customFormat="1" ht="27" outlineLevel="1">
      <c r="A848" s="63" t="s">
        <v>1203</v>
      </c>
      <c r="B848" s="63">
        <v>103669</v>
      </c>
      <c r="C848" s="63" t="s">
        <v>18</v>
      </c>
      <c r="D848" s="65" t="s">
        <v>958</v>
      </c>
      <c r="E848" s="66" t="s">
        <v>218</v>
      </c>
      <c r="F848" s="64">
        <v>0.14000000000000001</v>
      </c>
      <c r="G848" s="249"/>
      <c r="H848" s="249">
        <f t="shared" si="205"/>
        <v>0</v>
      </c>
      <c r="I848" s="249">
        <f t="shared" si="201"/>
        <v>0</v>
      </c>
      <c r="J848" s="248" t="e">
        <f t="shared" si="202"/>
        <v>#DIV/0!</v>
      </c>
    </row>
    <row r="849" spans="1:11" s="71" customFormat="1" ht="27" outlineLevel="1">
      <c r="A849" s="63" t="s">
        <v>1204</v>
      </c>
      <c r="B849" s="63">
        <v>103329</v>
      </c>
      <c r="C849" s="63" t="s">
        <v>18</v>
      </c>
      <c r="D849" s="254" t="s">
        <v>274</v>
      </c>
      <c r="E849" s="255" t="s">
        <v>116</v>
      </c>
      <c r="F849" s="258">
        <v>8.4600000000000009</v>
      </c>
      <c r="G849" s="256"/>
      <c r="H849" s="249">
        <f t="shared" si="204"/>
        <v>0</v>
      </c>
      <c r="I849" s="249">
        <f t="shared" si="201"/>
        <v>0</v>
      </c>
      <c r="J849" s="248" t="e">
        <f t="shared" si="202"/>
        <v>#DIV/0!</v>
      </c>
      <c r="K849" s="259"/>
    </row>
    <row r="850" spans="1:11" s="157" customFormat="1" ht="27" outlineLevel="1">
      <c r="A850" s="63" t="s">
        <v>1205</v>
      </c>
      <c r="B850" s="63">
        <v>87879</v>
      </c>
      <c r="C850" s="63" t="s">
        <v>18</v>
      </c>
      <c r="D850" s="65" t="s">
        <v>275</v>
      </c>
      <c r="E850" s="66" t="s">
        <v>116</v>
      </c>
      <c r="F850" s="64">
        <v>16.920000000000002</v>
      </c>
      <c r="G850" s="249"/>
      <c r="H850" s="249">
        <f t="shared" si="204"/>
        <v>0</v>
      </c>
      <c r="I850" s="249">
        <f t="shared" si="201"/>
        <v>0</v>
      </c>
      <c r="J850" s="248" t="e">
        <f t="shared" si="202"/>
        <v>#DIV/0!</v>
      </c>
    </row>
    <row r="851" spans="1:11" s="157" customFormat="1" ht="40.5" outlineLevel="1">
      <c r="A851" s="63" t="s">
        <v>1206</v>
      </c>
      <c r="B851" s="63">
        <v>89173</v>
      </c>
      <c r="C851" s="63" t="s">
        <v>18</v>
      </c>
      <c r="D851" s="65" t="s">
        <v>1371</v>
      </c>
      <c r="E851" s="66" t="s">
        <v>116</v>
      </c>
      <c r="F851" s="64">
        <f>F850</f>
        <v>16.920000000000002</v>
      </c>
      <c r="G851" s="249"/>
      <c r="H851" s="249">
        <f t="shared" si="204"/>
        <v>0</v>
      </c>
      <c r="I851" s="249">
        <f t="shared" si="201"/>
        <v>0</v>
      </c>
      <c r="J851" s="248" t="e">
        <f t="shared" si="202"/>
        <v>#DIV/0!</v>
      </c>
    </row>
    <row r="852" spans="1:11" s="157" customFormat="1" ht="40.5" outlineLevel="1">
      <c r="A852" s="63" t="s">
        <v>1207</v>
      </c>
      <c r="B852" s="63">
        <v>87531</v>
      </c>
      <c r="C852" s="63" t="s">
        <v>18</v>
      </c>
      <c r="D852" s="65" t="s">
        <v>976</v>
      </c>
      <c r="E852" s="66" t="s">
        <v>116</v>
      </c>
      <c r="F852" s="64">
        <v>10.95</v>
      </c>
      <c r="G852" s="249"/>
      <c r="H852" s="249">
        <f t="shared" si="204"/>
        <v>0</v>
      </c>
      <c r="I852" s="249">
        <f t="shared" si="201"/>
        <v>0</v>
      </c>
      <c r="J852" s="248" t="e">
        <f t="shared" si="202"/>
        <v>#DIV/0!</v>
      </c>
    </row>
    <row r="853" spans="1:11" s="100" customFormat="1" ht="40.5" outlineLevel="1">
      <c r="A853" s="63" t="s">
        <v>1208</v>
      </c>
      <c r="B853" s="63">
        <v>104455</v>
      </c>
      <c r="C853" s="63" t="s">
        <v>18</v>
      </c>
      <c r="D853" s="65" t="s">
        <v>485</v>
      </c>
      <c r="E853" s="66" t="s">
        <v>116</v>
      </c>
      <c r="F853" s="64">
        <v>10.95</v>
      </c>
      <c r="G853" s="249"/>
      <c r="H853" s="249">
        <f t="shared" si="204"/>
        <v>0</v>
      </c>
      <c r="I853" s="249">
        <f t="shared" si="201"/>
        <v>0</v>
      </c>
      <c r="J853" s="248" t="e">
        <f t="shared" si="202"/>
        <v>#DIV/0!</v>
      </c>
    </row>
    <row r="854" spans="1:11" s="100" customFormat="1" ht="27" outlineLevel="1">
      <c r="A854" s="63" t="s">
        <v>1209</v>
      </c>
      <c r="B854" s="63">
        <v>88495</v>
      </c>
      <c r="C854" s="63" t="s">
        <v>18</v>
      </c>
      <c r="D854" s="65" t="s">
        <v>1372</v>
      </c>
      <c r="E854" s="66" t="s">
        <v>116</v>
      </c>
      <c r="F854" s="64">
        <v>113.19</v>
      </c>
      <c r="G854" s="137"/>
      <c r="H854" s="117">
        <f t="shared" si="204"/>
        <v>0</v>
      </c>
      <c r="I854" s="249">
        <f t="shared" si="201"/>
        <v>0</v>
      </c>
      <c r="J854" s="248" t="e">
        <f t="shared" si="202"/>
        <v>#DIV/0!</v>
      </c>
    </row>
    <row r="855" spans="1:11" s="100" customFormat="1" ht="27" outlineLevel="1">
      <c r="A855" s="63" t="s">
        <v>1210</v>
      </c>
      <c r="B855" s="63">
        <v>88489</v>
      </c>
      <c r="C855" s="63" t="s">
        <v>18</v>
      </c>
      <c r="D855" s="65" t="s">
        <v>1373</v>
      </c>
      <c r="E855" s="66" t="s">
        <v>116</v>
      </c>
      <c r="F855" s="64">
        <f>F854</f>
        <v>113.19</v>
      </c>
      <c r="G855" s="137"/>
      <c r="H855" s="117">
        <f t="shared" si="204"/>
        <v>0</v>
      </c>
      <c r="I855" s="249">
        <f t="shared" si="201"/>
        <v>0</v>
      </c>
      <c r="J855" s="248" t="e">
        <f t="shared" si="202"/>
        <v>#DIV/0!</v>
      </c>
    </row>
    <row r="856" spans="1:11" s="100" customFormat="1" ht="27" outlineLevel="1">
      <c r="A856" s="63" t="s">
        <v>1213</v>
      </c>
      <c r="B856" s="63">
        <v>96116</v>
      </c>
      <c r="C856" s="63" t="s">
        <v>18</v>
      </c>
      <c r="D856" s="65" t="s">
        <v>593</v>
      </c>
      <c r="E856" s="66" t="s">
        <v>116</v>
      </c>
      <c r="F856" s="64">
        <v>180.66</v>
      </c>
      <c r="G856" s="345"/>
      <c r="H856" s="344">
        <f t="shared" si="204"/>
        <v>0</v>
      </c>
      <c r="I856" s="117">
        <f t="shared" si="201"/>
        <v>0</v>
      </c>
      <c r="J856" s="246" t="e">
        <f t="shared" si="202"/>
        <v>#DIV/0!</v>
      </c>
    </row>
    <row r="857" spans="1:11" s="100" customFormat="1" ht="27" outlineLevel="1">
      <c r="A857" s="63" t="s">
        <v>1214</v>
      </c>
      <c r="B857" s="63">
        <v>97084</v>
      </c>
      <c r="C857" s="63" t="s">
        <v>18</v>
      </c>
      <c r="D857" s="65" t="s">
        <v>791</v>
      </c>
      <c r="E857" s="68" t="s">
        <v>116</v>
      </c>
      <c r="F857" s="64">
        <v>180.66</v>
      </c>
      <c r="G857" s="350"/>
      <c r="H857" s="249">
        <f t="shared" ref="H857:H861" si="206">TRUNC((G857*(1+$I$12)),2)</f>
        <v>0</v>
      </c>
      <c r="I857" s="249">
        <f t="shared" si="201"/>
        <v>0</v>
      </c>
      <c r="J857" s="248" t="e">
        <f t="shared" si="202"/>
        <v>#DIV/0!</v>
      </c>
    </row>
    <row r="858" spans="1:11" s="100" customFormat="1" ht="27" outlineLevel="1">
      <c r="A858" s="63" t="s">
        <v>1215</v>
      </c>
      <c r="B858" s="128">
        <v>96622</v>
      </c>
      <c r="C858" s="128" t="s">
        <v>18</v>
      </c>
      <c r="D858" s="82" t="s">
        <v>1895</v>
      </c>
      <c r="E858" s="88" t="s">
        <v>218</v>
      </c>
      <c r="F858" s="75">
        <f>F857*0.05</f>
        <v>9.0329999999999995</v>
      </c>
      <c r="G858" s="145"/>
      <c r="H858" s="84">
        <f t="shared" si="206"/>
        <v>0</v>
      </c>
      <c r="I858" s="249">
        <f t="shared" si="201"/>
        <v>0</v>
      </c>
      <c r="J858" s="248" t="e">
        <f t="shared" si="202"/>
        <v>#DIV/0!</v>
      </c>
    </row>
    <row r="859" spans="1:11" s="100" customFormat="1" ht="27" outlineLevel="1">
      <c r="A859" s="63" t="s">
        <v>1216</v>
      </c>
      <c r="B859" s="128">
        <v>95241</v>
      </c>
      <c r="C859" s="128" t="s">
        <v>18</v>
      </c>
      <c r="D859" s="82" t="s">
        <v>1894</v>
      </c>
      <c r="E859" s="88" t="s">
        <v>116</v>
      </c>
      <c r="F859" s="75">
        <f>F857</f>
        <v>180.66</v>
      </c>
      <c r="G859" s="145"/>
      <c r="H859" s="249">
        <f t="shared" si="206"/>
        <v>0</v>
      </c>
      <c r="I859" s="249">
        <f t="shared" si="201"/>
        <v>0</v>
      </c>
      <c r="J859" s="248" t="e">
        <f t="shared" si="202"/>
        <v>#DIV/0!</v>
      </c>
    </row>
    <row r="860" spans="1:11" s="100" customFormat="1" ht="40.5" outlineLevel="1">
      <c r="A860" s="63" t="s">
        <v>1217</v>
      </c>
      <c r="B860" s="63">
        <v>104162</v>
      </c>
      <c r="C860" s="63" t="s">
        <v>18</v>
      </c>
      <c r="D860" s="65" t="s">
        <v>387</v>
      </c>
      <c r="E860" s="66" t="s">
        <v>116</v>
      </c>
      <c r="F860" s="64">
        <f>F859</f>
        <v>180.66</v>
      </c>
      <c r="G860" s="252"/>
      <c r="H860" s="249">
        <f t="shared" si="206"/>
        <v>0</v>
      </c>
      <c r="I860" s="249">
        <f t="shared" si="201"/>
        <v>0</v>
      </c>
      <c r="J860" s="248" t="e">
        <f t="shared" si="202"/>
        <v>#DIV/0!</v>
      </c>
    </row>
    <row r="861" spans="1:11" s="100" customFormat="1" outlineLevel="1">
      <c r="A861" s="63" t="s">
        <v>1218</v>
      </c>
      <c r="B861" s="63">
        <v>101741</v>
      </c>
      <c r="C861" s="63" t="s">
        <v>18</v>
      </c>
      <c r="D861" s="65" t="s">
        <v>388</v>
      </c>
      <c r="E861" s="66" t="s">
        <v>115</v>
      </c>
      <c r="F861" s="64">
        <f>F860</f>
        <v>180.66</v>
      </c>
      <c r="G861" s="249"/>
      <c r="H861" s="249">
        <f t="shared" si="206"/>
        <v>0</v>
      </c>
      <c r="I861" s="249">
        <f t="shared" si="201"/>
        <v>0</v>
      </c>
      <c r="J861" s="248" t="e">
        <f t="shared" si="202"/>
        <v>#DIV/0!</v>
      </c>
    </row>
    <row r="862" spans="1:11" s="100" customFormat="1" outlineLevel="1">
      <c r="A862" s="63" t="s">
        <v>1219</v>
      </c>
      <c r="B862" s="63" t="s">
        <v>1180</v>
      </c>
      <c r="C862" s="63" t="s">
        <v>7</v>
      </c>
      <c r="D862" s="65" t="s">
        <v>1179</v>
      </c>
      <c r="E862" s="66" t="s">
        <v>116</v>
      </c>
      <c r="F862" s="69">
        <v>1.8</v>
      </c>
      <c r="G862" s="249"/>
      <c r="H862" s="121">
        <f>TRUNC((G862*(1+$I$12)),2)</f>
        <v>0</v>
      </c>
      <c r="I862" s="249">
        <f t="shared" si="201"/>
        <v>0</v>
      </c>
      <c r="J862" s="248" t="e">
        <f t="shared" si="202"/>
        <v>#DIV/0!</v>
      </c>
    </row>
    <row r="863" spans="1:11" s="100" customFormat="1" ht="27" outlineLevel="1">
      <c r="A863" s="63" t="s">
        <v>1220</v>
      </c>
      <c r="B863" s="128">
        <v>86937</v>
      </c>
      <c r="C863" s="128" t="s">
        <v>18</v>
      </c>
      <c r="D863" s="82" t="s">
        <v>1181</v>
      </c>
      <c r="E863" s="66" t="s">
        <v>221</v>
      </c>
      <c r="F863" s="75">
        <v>4</v>
      </c>
      <c r="G863" s="84"/>
      <c r="H863" s="121">
        <f>TRUNC((G863*(1+$I$12)),2)</f>
        <v>0</v>
      </c>
      <c r="I863" s="249">
        <f t="shared" si="201"/>
        <v>0</v>
      </c>
      <c r="J863" s="248" t="e">
        <f t="shared" si="202"/>
        <v>#DIV/0!</v>
      </c>
    </row>
    <row r="864" spans="1:11" s="100" customFormat="1" ht="27" outlineLevel="1">
      <c r="A864" s="63" t="s">
        <v>1221</v>
      </c>
      <c r="B864" s="63">
        <v>89957</v>
      </c>
      <c r="C864" s="63" t="s">
        <v>18</v>
      </c>
      <c r="D864" s="65" t="s">
        <v>1082</v>
      </c>
      <c r="E864" s="66" t="s">
        <v>221</v>
      </c>
      <c r="F864" s="64">
        <v>6</v>
      </c>
      <c r="G864" s="249"/>
      <c r="H864" s="121">
        <f>TRUNC((G864*(1+$I$12)),2)</f>
        <v>0</v>
      </c>
      <c r="I864" s="249">
        <f t="shared" si="201"/>
        <v>0</v>
      </c>
      <c r="J864" s="248" t="e">
        <f t="shared" si="202"/>
        <v>#DIV/0!</v>
      </c>
    </row>
    <row r="865" spans="1:11" s="100" customFormat="1" ht="15.95" customHeight="1" outlineLevel="1">
      <c r="A865" s="63" t="s">
        <v>1222</v>
      </c>
      <c r="B865" s="128" t="s">
        <v>1185</v>
      </c>
      <c r="C865" s="128" t="s">
        <v>9</v>
      </c>
      <c r="D865" s="82" t="s">
        <v>1184</v>
      </c>
      <c r="E865" s="66" t="s">
        <v>221</v>
      </c>
      <c r="F865" s="64">
        <v>2</v>
      </c>
      <c r="G865" s="260" t="s">
        <v>10</v>
      </c>
      <c r="H865" s="127"/>
      <c r="I865" s="249">
        <f t="shared" si="201"/>
        <v>0</v>
      </c>
      <c r="J865" s="248" t="e">
        <f t="shared" si="202"/>
        <v>#DIV/0!</v>
      </c>
    </row>
    <row r="866" spans="1:11" s="100" customFormat="1" ht="15" customHeight="1" outlineLevel="1">
      <c r="A866" s="63" t="s">
        <v>1223</v>
      </c>
      <c r="B866" s="63" t="s">
        <v>11</v>
      </c>
      <c r="C866" s="63" t="s">
        <v>9</v>
      </c>
      <c r="D866" s="65" t="s">
        <v>398</v>
      </c>
      <c r="E866" s="66" t="s">
        <v>116</v>
      </c>
      <c r="F866" s="64">
        <f>1.8*2</f>
        <v>3.6</v>
      </c>
      <c r="G866" s="252" t="s">
        <v>10</v>
      </c>
      <c r="H866" s="121"/>
      <c r="I866" s="249">
        <f t="shared" si="201"/>
        <v>0</v>
      </c>
      <c r="J866" s="248" t="e">
        <f t="shared" si="202"/>
        <v>#DIV/0!</v>
      </c>
    </row>
    <row r="867" spans="1:11" s="100" customFormat="1" ht="15.95" customHeight="1" outlineLevel="1">
      <c r="A867" s="63" t="s">
        <v>1856</v>
      </c>
      <c r="B867" s="128" t="s">
        <v>1212</v>
      </c>
      <c r="C867" s="128" t="s">
        <v>9</v>
      </c>
      <c r="D867" s="82" t="s">
        <v>1211</v>
      </c>
      <c r="E867" s="66" t="s">
        <v>116</v>
      </c>
      <c r="F867" s="64">
        <v>1.2</v>
      </c>
      <c r="G867" s="260" t="s">
        <v>10</v>
      </c>
      <c r="H867" s="127"/>
      <c r="I867" s="249">
        <f t="shared" si="201"/>
        <v>0</v>
      </c>
      <c r="J867" s="248" t="e">
        <f t="shared" si="202"/>
        <v>#DIV/0!</v>
      </c>
    </row>
    <row r="868" spans="1:11" s="157" customFormat="1">
      <c r="A868" s="387" t="s">
        <v>1224</v>
      </c>
      <c r="B868" s="387"/>
      <c r="C868" s="387"/>
      <c r="D868" s="387"/>
      <c r="E868" s="387"/>
      <c r="F868" s="387"/>
      <c r="G868" s="387"/>
      <c r="H868" s="387"/>
      <c r="I868" s="175">
        <f>SUM(I831:I867)</f>
        <v>0</v>
      </c>
      <c r="J868" s="159" t="e">
        <f>SUM(J831:J867)</f>
        <v>#DIV/0!</v>
      </c>
      <c r="K868" s="318" t="e">
        <f>I868/$I$944</f>
        <v>#DIV/0!</v>
      </c>
    </row>
    <row r="869" spans="1:11" ht="15" customHeight="1">
      <c r="A869" s="61" t="s">
        <v>1225</v>
      </c>
      <c r="B869" s="381"/>
      <c r="C869" s="381"/>
      <c r="D869" s="107" t="s">
        <v>143</v>
      </c>
      <c r="E869" s="382"/>
      <c r="F869" s="382"/>
      <c r="G869" s="382"/>
      <c r="H869" s="382"/>
      <c r="I869" s="382"/>
      <c r="J869" s="389"/>
    </row>
    <row r="870" spans="1:11" s="100" customFormat="1" ht="15.95" customHeight="1" outlineLevel="1">
      <c r="A870" s="138" t="s">
        <v>1237</v>
      </c>
      <c r="B870" s="5">
        <v>97644</v>
      </c>
      <c r="C870" s="5" t="s">
        <v>18</v>
      </c>
      <c r="D870" s="106" t="s">
        <v>463</v>
      </c>
      <c r="E870" s="109" t="s">
        <v>116</v>
      </c>
      <c r="F870" s="64">
        <f>2.1*0.9*2</f>
        <v>3.7800000000000002</v>
      </c>
      <c r="G870" s="116"/>
      <c r="H870" s="241">
        <f>TRUNC((G870*(1+$I$12)),2)</f>
        <v>0</v>
      </c>
      <c r="I870" s="117">
        <f>ROUND((F870*H870),2)</f>
        <v>0</v>
      </c>
      <c r="J870" s="248" t="e">
        <f t="shared" ref="J870:J901" si="207">(I870/$I$1421)</f>
        <v>#DIV/0!</v>
      </c>
    </row>
    <row r="871" spans="1:11" s="100" customFormat="1" ht="27" outlineLevel="1">
      <c r="A871" s="138" t="s">
        <v>1819</v>
      </c>
      <c r="B871" s="5">
        <v>97640</v>
      </c>
      <c r="C871" s="5" t="s">
        <v>18</v>
      </c>
      <c r="D871" s="106" t="s">
        <v>1797</v>
      </c>
      <c r="E871" s="109" t="s">
        <v>116</v>
      </c>
      <c r="F871" s="64">
        <v>23.64</v>
      </c>
      <c r="G871" s="137"/>
      <c r="H871" s="241">
        <f>TRUNC((G871*(1+$I$12)),2)</f>
        <v>0</v>
      </c>
      <c r="I871" s="117">
        <f t="shared" ref="I871:I919" si="208">ROUND((F871*H871),2)</f>
        <v>0</v>
      </c>
      <c r="J871" s="248" t="e">
        <f t="shared" si="207"/>
        <v>#DIV/0!</v>
      </c>
    </row>
    <row r="872" spans="1:11" s="100" customFormat="1" ht="27" outlineLevel="1">
      <c r="A872" s="138" t="s">
        <v>1238</v>
      </c>
      <c r="B872" s="63">
        <v>97660</v>
      </c>
      <c r="C872" s="63" t="s">
        <v>18</v>
      </c>
      <c r="D872" s="65" t="s">
        <v>1798</v>
      </c>
      <c r="E872" s="66" t="s">
        <v>221</v>
      </c>
      <c r="F872" s="64">
        <v>10</v>
      </c>
      <c r="G872" s="243"/>
      <c r="H872" s="241">
        <f>TRUNC((G872*(1+$I$12)),2)</f>
        <v>0</v>
      </c>
      <c r="I872" s="117">
        <f t="shared" si="208"/>
        <v>0</v>
      </c>
      <c r="J872" s="248" t="e">
        <f t="shared" si="207"/>
        <v>#DIV/0!</v>
      </c>
    </row>
    <row r="873" spans="1:11" s="100" customFormat="1" ht="15.75" customHeight="1" outlineLevel="1">
      <c r="A873" s="138" t="s">
        <v>1239</v>
      </c>
      <c r="B873" s="63">
        <v>97665</v>
      </c>
      <c r="C873" s="63" t="s">
        <v>18</v>
      </c>
      <c r="D873" s="65" t="s">
        <v>1799</v>
      </c>
      <c r="E873" s="66" t="s">
        <v>221</v>
      </c>
      <c r="F873" s="64">
        <v>2</v>
      </c>
      <c r="G873" s="243"/>
      <c r="H873" s="241">
        <f>TRUNC((G873*(1+$I$12)),2)</f>
        <v>0</v>
      </c>
      <c r="I873" s="117">
        <f t="shared" si="208"/>
        <v>0</v>
      </c>
      <c r="J873" s="248" t="e">
        <f t="shared" si="207"/>
        <v>#DIV/0!</v>
      </c>
    </row>
    <row r="874" spans="1:11" s="100" customFormat="1" ht="15.95" customHeight="1" outlineLevel="1">
      <c r="A874" s="138" t="s">
        <v>1240</v>
      </c>
      <c r="B874" s="63" t="s">
        <v>120</v>
      </c>
      <c r="C874" s="63" t="s">
        <v>7</v>
      </c>
      <c r="D874" s="65" t="s">
        <v>121</v>
      </c>
      <c r="E874" s="66" t="s">
        <v>116</v>
      </c>
      <c r="F874" s="64">
        <v>23.9</v>
      </c>
      <c r="G874" s="249"/>
      <c r="H874" s="249">
        <f t="shared" ref="H874" si="209">TRUNC((G874*(1+$I$12)),2)</f>
        <v>0</v>
      </c>
      <c r="I874" s="117">
        <f t="shared" si="208"/>
        <v>0</v>
      </c>
      <c r="J874" s="248" t="e">
        <f t="shared" si="207"/>
        <v>#DIV/0!</v>
      </c>
    </row>
    <row r="875" spans="1:11" s="100" customFormat="1" ht="15.95" customHeight="1" outlineLevel="1">
      <c r="A875" s="138" t="s">
        <v>1241</v>
      </c>
      <c r="B875" s="101" t="s">
        <v>380</v>
      </c>
      <c r="C875" s="101" t="s">
        <v>9</v>
      </c>
      <c r="D875" s="102" t="s">
        <v>122</v>
      </c>
      <c r="E875" s="118" t="s">
        <v>221</v>
      </c>
      <c r="F875" s="80">
        <v>2</v>
      </c>
      <c r="G875" s="119" t="s">
        <v>10</v>
      </c>
      <c r="H875" s="120"/>
      <c r="I875" s="117">
        <f t="shared" si="208"/>
        <v>0</v>
      </c>
      <c r="J875" s="248" t="e">
        <f t="shared" si="207"/>
        <v>#DIV/0!</v>
      </c>
    </row>
    <row r="876" spans="1:11" s="100" customFormat="1" ht="15.75" customHeight="1" outlineLevel="1">
      <c r="A876" s="138" t="s">
        <v>1242</v>
      </c>
      <c r="B876" s="63" t="s">
        <v>385</v>
      </c>
      <c r="C876" s="63" t="s">
        <v>9</v>
      </c>
      <c r="D876" s="65" t="s">
        <v>384</v>
      </c>
      <c r="E876" s="66" t="s">
        <v>116</v>
      </c>
      <c r="F876" s="64">
        <v>33.869999999999997</v>
      </c>
      <c r="G876" s="249" t="s">
        <v>10</v>
      </c>
      <c r="H876" s="249"/>
      <c r="I876" s="117">
        <f t="shared" si="208"/>
        <v>0</v>
      </c>
      <c r="J876" s="248" t="e">
        <f t="shared" si="207"/>
        <v>#DIV/0!</v>
      </c>
    </row>
    <row r="877" spans="1:11" s="100" customFormat="1" ht="30" customHeight="1" outlineLevel="1">
      <c r="A877" s="138" t="s">
        <v>1243</v>
      </c>
      <c r="B877" s="103" t="s">
        <v>478</v>
      </c>
      <c r="C877" s="103" t="s">
        <v>7</v>
      </c>
      <c r="D877" s="257" t="s">
        <v>930</v>
      </c>
      <c r="E877" s="87" t="s">
        <v>218</v>
      </c>
      <c r="F877" s="80">
        <v>7.36</v>
      </c>
      <c r="G877" s="139"/>
      <c r="H877" s="124">
        <f t="shared" ref="H877" si="210">TRUNC((G877*(1+$I$12)),2)</f>
        <v>0</v>
      </c>
      <c r="I877" s="117">
        <f t="shared" si="208"/>
        <v>0</v>
      </c>
      <c r="J877" s="248" t="e">
        <f t="shared" si="207"/>
        <v>#DIV/0!</v>
      </c>
    </row>
    <row r="878" spans="1:11" s="100" customFormat="1" outlineLevel="1">
      <c r="A878" s="138" t="s">
        <v>1244</v>
      </c>
      <c r="B878" s="63" t="s">
        <v>13</v>
      </c>
      <c r="C878" s="63" t="s">
        <v>7</v>
      </c>
      <c r="D878" s="65" t="s">
        <v>14</v>
      </c>
      <c r="E878" s="86" t="s">
        <v>116</v>
      </c>
      <c r="F878" s="80">
        <v>3.4</v>
      </c>
      <c r="G878" s="124"/>
      <c r="H878" s="124">
        <f t="shared" ref="H878" si="211">TRUNC((G878*(1+$I$12)),2)</f>
        <v>0</v>
      </c>
      <c r="I878" s="117">
        <f t="shared" si="208"/>
        <v>0</v>
      </c>
      <c r="J878" s="248" t="e">
        <f t="shared" si="207"/>
        <v>#DIV/0!</v>
      </c>
    </row>
    <row r="879" spans="1:11" s="100" customFormat="1" ht="15.95" customHeight="1" outlineLevel="1">
      <c r="A879" s="138" t="s">
        <v>1245</v>
      </c>
      <c r="B879" s="63" t="s">
        <v>135</v>
      </c>
      <c r="C879" s="63" t="s">
        <v>7</v>
      </c>
      <c r="D879" s="65" t="s">
        <v>383</v>
      </c>
      <c r="E879" s="66" t="s">
        <v>115</v>
      </c>
      <c r="F879" s="64">
        <v>2.8</v>
      </c>
      <c r="G879" s="252"/>
      <c r="H879" s="249">
        <f>TRUNC((G879*(1+$I$12)),2)</f>
        <v>0</v>
      </c>
      <c r="I879" s="117">
        <f t="shared" si="208"/>
        <v>0</v>
      </c>
      <c r="J879" s="248" t="e">
        <f t="shared" si="207"/>
        <v>#DIV/0!</v>
      </c>
    </row>
    <row r="880" spans="1:11" s="71" customFormat="1" outlineLevel="1">
      <c r="A880" s="138" t="s">
        <v>1246</v>
      </c>
      <c r="B880" s="63" t="s">
        <v>932</v>
      </c>
      <c r="C880" s="63" t="s">
        <v>7</v>
      </c>
      <c r="D880" s="254" t="s">
        <v>931</v>
      </c>
      <c r="E880" s="255" t="s">
        <v>117</v>
      </c>
      <c r="F880" s="255">
        <v>0.45</v>
      </c>
      <c r="G880" s="256"/>
      <c r="H880" s="249">
        <f t="shared" ref="H880:H884" si="212">TRUNC((G880*(1+$I$12)),2)</f>
        <v>0</v>
      </c>
      <c r="I880" s="117">
        <f t="shared" si="208"/>
        <v>0</v>
      </c>
      <c r="J880" s="248" t="e">
        <f t="shared" si="207"/>
        <v>#DIV/0!</v>
      </c>
    </row>
    <row r="881" spans="1:11" s="71" customFormat="1" outlineLevel="1">
      <c r="A881" s="138" t="s">
        <v>1247</v>
      </c>
      <c r="B881" s="63" t="s">
        <v>1227</v>
      </c>
      <c r="C881" s="63" t="s">
        <v>7</v>
      </c>
      <c r="D881" s="254" t="s">
        <v>1226</v>
      </c>
      <c r="E881" s="261" t="s">
        <v>116</v>
      </c>
      <c r="F881" s="261">
        <v>2.38</v>
      </c>
      <c r="G881" s="267"/>
      <c r="H881" s="325">
        <f t="shared" ref="H881:H882" si="213">TRUNC((G881*(1+$I$12)),2)</f>
        <v>0</v>
      </c>
      <c r="I881" s="117">
        <f t="shared" si="208"/>
        <v>0</v>
      </c>
      <c r="J881" s="324" t="e">
        <f t="shared" si="207"/>
        <v>#DIV/0!</v>
      </c>
    </row>
    <row r="882" spans="1:11" s="100" customFormat="1" ht="15.95" customHeight="1" outlineLevel="1">
      <c r="A882" s="138" t="s">
        <v>1248</v>
      </c>
      <c r="B882" s="63">
        <v>97663</v>
      </c>
      <c r="C882" s="63" t="s">
        <v>18</v>
      </c>
      <c r="D882" s="65" t="s">
        <v>481</v>
      </c>
      <c r="E882" s="66" t="s">
        <v>221</v>
      </c>
      <c r="F882" s="64">
        <v>2</v>
      </c>
      <c r="G882" s="325"/>
      <c r="H882" s="325">
        <f t="shared" si="213"/>
        <v>0</v>
      </c>
      <c r="I882" s="117">
        <f t="shared" si="208"/>
        <v>0</v>
      </c>
      <c r="J882" s="324" t="e">
        <f t="shared" si="207"/>
        <v>#DIV/0!</v>
      </c>
    </row>
    <row r="883" spans="1:11" s="100" customFormat="1" ht="40.5" outlineLevel="1">
      <c r="A883" s="138" t="s">
        <v>1249</v>
      </c>
      <c r="B883" s="63">
        <v>100983</v>
      </c>
      <c r="C883" s="63" t="s">
        <v>18</v>
      </c>
      <c r="D883" s="65" t="s">
        <v>1896</v>
      </c>
      <c r="E883" s="66" t="s">
        <v>218</v>
      </c>
      <c r="F883" s="64">
        <f>(0.1+0.04+0.01+0.71+0.01+0.03+7.36+2.39+1.02+0.12+0.01+0.01+0.01)*1.3</f>
        <v>15.365999999999998</v>
      </c>
      <c r="G883" s="350"/>
      <c r="H883" s="350">
        <f t="shared" si="212"/>
        <v>0</v>
      </c>
      <c r="I883" s="121">
        <f t="shared" si="208"/>
        <v>0</v>
      </c>
      <c r="J883" s="349" t="e">
        <f t="shared" si="207"/>
        <v>#DIV/0!</v>
      </c>
    </row>
    <row r="884" spans="1:11" s="100" customFormat="1" ht="27" outlineLevel="1">
      <c r="A884" s="138" t="s">
        <v>1250</v>
      </c>
      <c r="B884" s="63">
        <v>95875</v>
      </c>
      <c r="C884" s="63" t="s">
        <v>18</v>
      </c>
      <c r="D884" s="65" t="s">
        <v>1898</v>
      </c>
      <c r="E884" s="66" t="s">
        <v>1897</v>
      </c>
      <c r="F884" s="64">
        <f>F883*4</f>
        <v>61.463999999999992</v>
      </c>
      <c r="G884" s="350"/>
      <c r="H884" s="350">
        <f t="shared" si="212"/>
        <v>0</v>
      </c>
      <c r="I884" s="121">
        <f t="shared" si="208"/>
        <v>0</v>
      </c>
      <c r="J884" s="349" t="e">
        <f t="shared" si="207"/>
        <v>#DIV/0!</v>
      </c>
    </row>
    <row r="885" spans="1:11" s="157" customFormat="1" ht="27" outlineLevel="1">
      <c r="A885" s="138" t="s">
        <v>1251</v>
      </c>
      <c r="B885" s="128" t="s">
        <v>10</v>
      </c>
      <c r="C885" s="128" t="str">
        <f>[1]Composições!$I$136</f>
        <v>COMP11</v>
      </c>
      <c r="D885" s="82" t="str">
        <f>[1]Composições!B136</f>
        <v>ESTACA BROCA DE CONCRETO, DIÂMETRO DE 25CM, ESCAVAÇÃO MANUAL COM TRADO CONCHA, INTEIRAMENTE ARMADA, INCLUSO CONCRETAGEM FCK 25 MPA. AF_05/2020</v>
      </c>
      <c r="E885" s="66" t="s">
        <v>115</v>
      </c>
      <c r="F885" s="64">
        <v>48</v>
      </c>
      <c r="G885" s="325"/>
      <c r="H885" s="325">
        <f t="shared" ref="H885:H901" si="214">TRUNC((G885*(1+$I$12)),2)</f>
        <v>0</v>
      </c>
      <c r="I885" s="117">
        <f t="shared" si="208"/>
        <v>0</v>
      </c>
      <c r="J885" s="324" t="e">
        <f t="shared" si="207"/>
        <v>#DIV/0!</v>
      </c>
    </row>
    <row r="886" spans="1:11" s="157" customFormat="1" ht="27" outlineLevel="1">
      <c r="A886" s="138" t="s">
        <v>1252</v>
      </c>
      <c r="B886" s="63">
        <v>96522</v>
      </c>
      <c r="C886" s="63" t="s">
        <v>18</v>
      </c>
      <c r="D886" s="65" t="s">
        <v>856</v>
      </c>
      <c r="E886" s="66" t="s">
        <v>218</v>
      </c>
      <c r="F886" s="64">
        <v>0.73</v>
      </c>
      <c r="G886" s="325"/>
      <c r="H886" s="325">
        <f t="shared" si="214"/>
        <v>0</v>
      </c>
      <c r="I886" s="117">
        <f t="shared" si="208"/>
        <v>0</v>
      </c>
      <c r="J886" s="324" t="e">
        <f t="shared" si="207"/>
        <v>#DIV/0!</v>
      </c>
    </row>
    <row r="887" spans="1:11" s="157" customFormat="1" ht="27" outlineLevel="1">
      <c r="A887" s="138" t="s">
        <v>1253</v>
      </c>
      <c r="B887" s="63">
        <v>96527</v>
      </c>
      <c r="C887" s="63" t="s">
        <v>18</v>
      </c>
      <c r="D887" s="65" t="s">
        <v>957</v>
      </c>
      <c r="E887" s="66" t="s">
        <v>218</v>
      </c>
      <c r="F887" s="64">
        <v>0.64</v>
      </c>
      <c r="G887" s="325"/>
      <c r="H887" s="325">
        <f t="shared" si="214"/>
        <v>0</v>
      </c>
      <c r="I887" s="117">
        <f t="shared" si="208"/>
        <v>0</v>
      </c>
      <c r="J887" s="324" t="e">
        <f t="shared" si="207"/>
        <v>#DIV/0!</v>
      </c>
    </row>
    <row r="888" spans="1:11" s="157" customFormat="1" ht="27" outlineLevel="1">
      <c r="A888" s="138" t="s">
        <v>1254</v>
      </c>
      <c r="B888" s="63">
        <v>96545</v>
      </c>
      <c r="C888" s="63" t="s">
        <v>18</v>
      </c>
      <c r="D888" s="65" t="s">
        <v>267</v>
      </c>
      <c r="E888" s="66" t="s">
        <v>117</v>
      </c>
      <c r="F888" s="64">
        <f>(F887+F886)*20</f>
        <v>27.400000000000002</v>
      </c>
      <c r="G888" s="325"/>
      <c r="H888" s="325">
        <f t="shared" si="214"/>
        <v>0</v>
      </c>
      <c r="I888" s="117">
        <f t="shared" si="208"/>
        <v>0</v>
      </c>
      <c r="J888" s="324" t="e">
        <f t="shared" si="207"/>
        <v>#DIV/0!</v>
      </c>
    </row>
    <row r="889" spans="1:11" s="157" customFormat="1" ht="27" outlineLevel="1">
      <c r="A889" s="138" t="s">
        <v>1255</v>
      </c>
      <c r="B889" s="63" t="s">
        <v>10</v>
      </c>
      <c r="C889" s="63" t="str">
        <f>[1]Composições!$I$146</f>
        <v>COMP12</v>
      </c>
      <c r="D889" s="65" t="str">
        <f>[1]Composições!$B$146</f>
        <v>CONCRETAGEM DE BLOCOS DE COROAMENTO E VIGAS BALDRAME, FCK 25 MPA, INCLUSO LANÇAMENTO, ADENSAMENTO E ACABAMENTO. AF_06/2017</v>
      </c>
      <c r="E889" s="66" t="s">
        <v>218</v>
      </c>
      <c r="F889" s="64">
        <f>F887+F886</f>
        <v>1.37</v>
      </c>
      <c r="G889" s="325"/>
      <c r="H889" s="325">
        <f t="shared" si="214"/>
        <v>0</v>
      </c>
      <c r="I889" s="117">
        <f t="shared" si="208"/>
        <v>0</v>
      </c>
      <c r="J889" s="324" t="e">
        <f t="shared" si="207"/>
        <v>#DIV/0!</v>
      </c>
    </row>
    <row r="890" spans="1:11" s="157" customFormat="1" ht="27" outlineLevel="1">
      <c r="A890" s="138" t="s">
        <v>1256</v>
      </c>
      <c r="B890" s="63">
        <v>92759</v>
      </c>
      <c r="C890" s="63" t="s">
        <v>18</v>
      </c>
      <c r="D890" s="65" t="s">
        <v>860</v>
      </c>
      <c r="E890" s="66" t="s">
        <v>117</v>
      </c>
      <c r="F890" s="64">
        <v>16.809999999999999</v>
      </c>
      <c r="G890" s="249"/>
      <c r="H890" s="249">
        <f t="shared" si="214"/>
        <v>0</v>
      </c>
      <c r="I890" s="117">
        <f t="shared" si="208"/>
        <v>0</v>
      </c>
      <c r="J890" s="248" t="e">
        <f t="shared" si="207"/>
        <v>#DIV/0!</v>
      </c>
      <c r="K890" s="154"/>
    </row>
    <row r="891" spans="1:11" s="157" customFormat="1" ht="27" outlineLevel="1">
      <c r="A891" s="138" t="s">
        <v>1257</v>
      </c>
      <c r="B891" s="63">
        <v>92762</v>
      </c>
      <c r="C891" s="63" t="s">
        <v>18</v>
      </c>
      <c r="D891" s="65" t="s">
        <v>857</v>
      </c>
      <c r="E891" s="66" t="s">
        <v>117</v>
      </c>
      <c r="F891" s="64">
        <v>74.930000000000007</v>
      </c>
      <c r="G891" s="249"/>
      <c r="H891" s="249">
        <f t="shared" si="214"/>
        <v>0</v>
      </c>
      <c r="I891" s="117">
        <f t="shared" si="208"/>
        <v>0</v>
      </c>
      <c r="J891" s="248" t="e">
        <f t="shared" si="207"/>
        <v>#DIV/0!</v>
      </c>
    </row>
    <row r="892" spans="1:11" s="157" customFormat="1" ht="27" outlineLevel="1">
      <c r="A892" s="138" t="s">
        <v>1258</v>
      </c>
      <c r="B892" s="63">
        <v>92419</v>
      </c>
      <c r="C892" s="63" t="s">
        <v>18</v>
      </c>
      <c r="D892" s="65" t="s">
        <v>858</v>
      </c>
      <c r="E892" s="66" t="s">
        <v>116</v>
      </c>
      <c r="F892" s="64">
        <v>9.65</v>
      </c>
      <c r="G892" s="249"/>
      <c r="H892" s="249">
        <f t="shared" si="214"/>
        <v>0</v>
      </c>
      <c r="I892" s="117">
        <f t="shared" si="208"/>
        <v>0</v>
      </c>
      <c r="J892" s="248" t="e">
        <f t="shared" si="207"/>
        <v>#DIV/0!</v>
      </c>
    </row>
    <row r="893" spans="1:11" s="157" customFormat="1" ht="27" outlineLevel="1">
      <c r="A893" s="138" t="s">
        <v>1259</v>
      </c>
      <c r="B893" s="63">
        <v>103669</v>
      </c>
      <c r="C893" s="63" t="s">
        <v>18</v>
      </c>
      <c r="D893" s="65" t="s">
        <v>958</v>
      </c>
      <c r="E893" s="66" t="s">
        <v>218</v>
      </c>
      <c r="F893" s="64">
        <v>1.47</v>
      </c>
      <c r="G893" s="249"/>
      <c r="H893" s="249">
        <f t="shared" si="214"/>
        <v>0</v>
      </c>
      <c r="I893" s="117">
        <f t="shared" si="208"/>
        <v>0</v>
      </c>
      <c r="J893" s="248" t="e">
        <f t="shared" si="207"/>
        <v>#DIV/0!</v>
      </c>
    </row>
    <row r="894" spans="1:11" s="71" customFormat="1" ht="27" outlineLevel="1">
      <c r="A894" s="138" t="s">
        <v>1260</v>
      </c>
      <c r="B894" s="63">
        <v>103329</v>
      </c>
      <c r="C894" s="63" t="s">
        <v>18</v>
      </c>
      <c r="D894" s="254" t="s">
        <v>274</v>
      </c>
      <c r="E894" s="255" t="s">
        <v>116</v>
      </c>
      <c r="F894" s="258">
        <v>49.6</v>
      </c>
      <c r="G894" s="256"/>
      <c r="H894" s="249">
        <f t="shared" si="214"/>
        <v>0</v>
      </c>
      <c r="I894" s="117">
        <f t="shared" si="208"/>
        <v>0</v>
      </c>
      <c r="J894" s="248" t="e">
        <f t="shared" si="207"/>
        <v>#DIV/0!</v>
      </c>
      <c r="K894" s="259"/>
    </row>
    <row r="895" spans="1:11" s="157" customFormat="1" ht="27" outlineLevel="1">
      <c r="A895" s="138" t="s">
        <v>1261</v>
      </c>
      <c r="B895" s="63">
        <v>87879</v>
      </c>
      <c r="C895" s="63" t="s">
        <v>18</v>
      </c>
      <c r="D895" s="65" t="s">
        <v>275</v>
      </c>
      <c r="E895" s="66" t="s">
        <v>116</v>
      </c>
      <c r="F895" s="64">
        <v>190.75</v>
      </c>
      <c r="G895" s="249"/>
      <c r="H895" s="249">
        <f t="shared" si="214"/>
        <v>0</v>
      </c>
      <c r="I895" s="117">
        <f t="shared" si="208"/>
        <v>0</v>
      </c>
      <c r="J895" s="248" t="e">
        <f t="shared" si="207"/>
        <v>#DIV/0!</v>
      </c>
    </row>
    <row r="896" spans="1:11" s="157" customFormat="1" ht="40.5" outlineLevel="1">
      <c r="A896" s="138" t="s">
        <v>1262</v>
      </c>
      <c r="B896" s="63">
        <v>90406</v>
      </c>
      <c r="C896" s="63" t="s">
        <v>18</v>
      </c>
      <c r="D896" s="65" t="s">
        <v>276</v>
      </c>
      <c r="E896" s="66" t="s">
        <v>116</v>
      </c>
      <c r="F896" s="64">
        <v>60.19</v>
      </c>
      <c r="G896" s="249"/>
      <c r="H896" s="249">
        <f t="shared" si="214"/>
        <v>0</v>
      </c>
      <c r="I896" s="117">
        <f t="shared" si="208"/>
        <v>0</v>
      </c>
      <c r="J896" s="248" t="e">
        <f t="shared" si="207"/>
        <v>#DIV/0!</v>
      </c>
    </row>
    <row r="897" spans="1:11" s="157" customFormat="1" ht="40.5" outlineLevel="1">
      <c r="A897" s="138" t="s">
        <v>1263</v>
      </c>
      <c r="B897" s="63">
        <v>87531</v>
      </c>
      <c r="C897" s="63" t="s">
        <v>18</v>
      </c>
      <c r="D897" s="65" t="s">
        <v>976</v>
      </c>
      <c r="E897" s="66" t="s">
        <v>116</v>
      </c>
      <c r="F897" s="64">
        <v>130.56</v>
      </c>
      <c r="G897" s="249"/>
      <c r="H897" s="249">
        <f t="shared" si="214"/>
        <v>0</v>
      </c>
      <c r="I897" s="117">
        <f t="shared" si="208"/>
        <v>0</v>
      </c>
      <c r="J897" s="248" t="e">
        <f t="shared" si="207"/>
        <v>#DIV/0!</v>
      </c>
    </row>
    <row r="898" spans="1:11" s="100" customFormat="1" ht="40.5" outlineLevel="1">
      <c r="A898" s="138" t="s">
        <v>1264</v>
      </c>
      <c r="B898" s="63">
        <v>104455</v>
      </c>
      <c r="C898" s="63" t="s">
        <v>18</v>
      </c>
      <c r="D898" s="65" t="s">
        <v>485</v>
      </c>
      <c r="E898" s="66" t="s">
        <v>116</v>
      </c>
      <c r="F898" s="64">
        <v>130.56</v>
      </c>
      <c r="G898" s="249"/>
      <c r="H898" s="249">
        <f t="shared" si="214"/>
        <v>0</v>
      </c>
      <c r="I898" s="117">
        <f t="shared" si="208"/>
        <v>0</v>
      </c>
      <c r="J898" s="248" t="e">
        <f t="shared" si="207"/>
        <v>#DIV/0!</v>
      </c>
    </row>
    <row r="899" spans="1:11" s="100" customFormat="1" ht="27" outlineLevel="1">
      <c r="A899" s="138" t="s">
        <v>1265</v>
      </c>
      <c r="B899" s="63">
        <v>97084</v>
      </c>
      <c r="C899" s="63" t="s">
        <v>18</v>
      </c>
      <c r="D899" s="65" t="s">
        <v>791</v>
      </c>
      <c r="E899" s="68" t="s">
        <v>116</v>
      </c>
      <c r="F899" s="64">
        <v>45.45</v>
      </c>
      <c r="G899" s="350"/>
      <c r="H899" s="350">
        <f t="shared" si="214"/>
        <v>0</v>
      </c>
      <c r="I899" s="117">
        <f t="shared" si="208"/>
        <v>0</v>
      </c>
      <c r="J899" s="349" t="e">
        <f t="shared" si="207"/>
        <v>#DIV/0!</v>
      </c>
    </row>
    <row r="900" spans="1:11" s="100" customFormat="1" ht="27" outlineLevel="1">
      <c r="A900" s="138" t="s">
        <v>1266</v>
      </c>
      <c r="B900" s="128">
        <v>96622</v>
      </c>
      <c r="C900" s="128" t="s">
        <v>18</v>
      </c>
      <c r="D900" s="82" t="s">
        <v>1895</v>
      </c>
      <c r="E900" s="88" t="s">
        <v>218</v>
      </c>
      <c r="F900" s="75">
        <f>F899*0.05</f>
        <v>2.2725000000000004</v>
      </c>
      <c r="G900" s="145"/>
      <c r="H900" s="350">
        <f t="shared" ref="H900" si="215">TRUNC((G900*(1+$I$12)),2)</f>
        <v>0</v>
      </c>
      <c r="I900" s="117">
        <f t="shared" ref="I900" si="216">ROUND((F900*H900),2)</f>
        <v>0</v>
      </c>
      <c r="J900" s="349" t="e">
        <f t="shared" si="207"/>
        <v>#DIV/0!</v>
      </c>
    </row>
    <row r="901" spans="1:11" s="100" customFormat="1" ht="27" outlineLevel="1">
      <c r="A901" s="138" t="s">
        <v>1267</v>
      </c>
      <c r="B901" s="128">
        <v>95241</v>
      </c>
      <c r="C901" s="128" t="s">
        <v>18</v>
      </c>
      <c r="D901" s="82" t="s">
        <v>1894</v>
      </c>
      <c r="E901" s="88" t="s">
        <v>116</v>
      </c>
      <c r="F901" s="75">
        <f>F899</f>
        <v>45.45</v>
      </c>
      <c r="G901" s="145"/>
      <c r="H901" s="84">
        <f t="shared" si="214"/>
        <v>0</v>
      </c>
      <c r="I901" s="117">
        <f t="shared" si="208"/>
        <v>0</v>
      </c>
      <c r="J901" s="349" t="e">
        <f t="shared" si="207"/>
        <v>#DIV/0!</v>
      </c>
    </row>
    <row r="902" spans="1:11" s="100" customFormat="1" ht="40.5" outlineLevel="1">
      <c r="A902" s="138" t="s">
        <v>1268</v>
      </c>
      <c r="B902" s="63">
        <v>104162</v>
      </c>
      <c r="C902" s="63" t="s">
        <v>18</v>
      </c>
      <c r="D902" s="65" t="s">
        <v>387</v>
      </c>
      <c r="E902" s="66" t="s">
        <v>116</v>
      </c>
      <c r="F902" s="64">
        <v>45.45</v>
      </c>
      <c r="G902" s="252"/>
      <c r="H902" s="249">
        <f t="shared" ref="H902:H909" si="217">TRUNC((G902*(1+$I$12)),2)</f>
        <v>0</v>
      </c>
      <c r="I902" s="117">
        <f t="shared" si="208"/>
        <v>0</v>
      </c>
      <c r="J902" s="248" t="e">
        <f t="shared" ref="J902:J920" si="218">(I902/$I$1421)</f>
        <v>#DIV/0!</v>
      </c>
      <c r="K902" s="100">
        <f>((2*2.1*0.15)+(0.9*0.15))</f>
        <v>0.76500000000000001</v>
      </c>
    </row>
    <row r="903" spans="1:11" s="100" customFormat="1" ht="15.95" customHeight="1" outlineLevel="1">
      <c r="A903" s="138" t="s">
        <v>1269</v>
      </c>
      <c r="B903" s="63">
        <v>101741</v>
      </c>
      <c r="C903" s="63" t="s">
        <v>18</v>
      </c>
      <c r="D903" s="65" t="s">
        <v>388</v>
      </c>
      <c r="E903" s="66" t="s">
        <v>115</v>
      </c>
      <c r="F903" s="64">
        <v>44.69</v>
      </c>
      <c r="G903" s="252"/>
      <c r="H903" s="249">
        <f t="shared" si="217"/>
        <v>0</v>
      </c>
      <c r="I903" s="117">
        <f t="shared" si="208"/>
        <v>0</v>
      </c>
      <c r="J903" s="248" t="e">
        <f t="shared" si="218"/>
        <v>#DIV/0!</v>
      </c>
      <c r="K903" s="100">
        <f>(((13.75*2.76))-((0.9*2.1)+(3.4*1.5)))</f>
        <v>30.959999999999994</v>
      </c>
    </row>
    <row r="904" spans="1:11" s="100" customFormat="1" ht="40.5" outlineLevel="1">
      <c r="A904" s="138" t="s">
        <v>1270</v>
      </c>
      <c r="B904" s="63">
        <v>90843</v>
      </c>
      <c r="C904" s="63" t="s">
        <v>18</v>
      </c>
      <c r="D904" s="65" t="s">
        <v>391</v>
      </c>
      <c r="E904" s="66" t="s">
        <v>221</v>
      </c>
      <c r="F904" s="64">
        <v>1</v>
      </c>
      <c r="G904" s="252"/>
      <c r="H904" s="249">
        <f t="shared" si="217"/>
        <v>0</v>
      </c>
      <c r="I904" s="117">
        <f t="shared" si="208"/>
        <v>0</v>
      </c>
      <c r="J904" s="248" t="e">
        <f t="shared" si="218"/>
        <v>#DIV/0!</v>
      </c>
      <c r="K904" s="100">
        <f>((28.1*1)-(0.9*1))</f>
        <v>27.200000000000003</v>
      </c>
    </row>
    <row r="905" spans="1:11" s="100" customFormat="1" ht="40.5" outlineLevel="1">
      <c r="A905" s="138" t="s">
        <v>1271</v>
      </c>
      <c r="B905" s="63">
        <v>90844</v>
      </c>
      <c r="C905" s="63" t="s">
        <v>18</v>
      </c>
      <c r="D905" s="65" t="s">
        <v>392</v>
      </c>
      <c r="E905" s="66" t="s">
        <v>221</v>
      </c>
      <c r="F905" s="64">
        <v>2</v>
      </c>
      <c r="G905" s="252"/>
      <c r="H905" s="249">
        <f t="shared" si="217"/>
        <v>0</v>
      </c>
      <c r="I905" s="117">
        <f t="shared" si="208"/>
        <v>0</v>
      </c>
      <c r="J905" s="248" t="e">
        <f t="shared" si="218"/>
        <v>#DIV/0!</v>
      </c>
      <c r="K905" s="100">
        <f>((28.1*1)-(0.9*1))</f>
        <v>27.200000000000003</v>
      </c>
    </row>
    <row r="906" spans="1:11" s="100" customFormat="1" ht="27" outlineLevel="1">
      <c r="A906" s="138" t="s">
        <v>1272</v>
      </c>
      <c r="B906" s="63">
        <v>102219</v>
      </c>
      <c r="C906" s="63" t="s">
        <v>18</v>
      </c>
      <c r="D906" s="65" t="s">
        <v>600</v>
      </c>
      <c r="E906" s="66" t="s">
        <v>116</v>
      </c>
      <c r="F906" s="64">
        <v>16.38</v>
      </c>
      <c r="G906" s="137"/>
      <c r="H906" s="117">
        <f t="shared" ref="H906" si="219">TRUNC((G906*(1+$I$12)),2)</f>
        <v>0</v>
      </c>
      <c r="I906" s="117">
        <f t="shared" si="208"/>
        <v>0</v>
      </c>
      <c r="J906" s="248" t="e">
        <f t="shared" si="218"/>
        <v>#DIV/0!</v>
      </c>
    </row>
    <row r="907" spans="1:11" s="100" customFormat="1" ht="27" outlineLevel="1">
      <c r="A907" s="138" t="s">
        <v>1273</v>
      </c>
      <c r="B907" s="63">
        <v>96116</v>
      </c>
      <c r="C907" s="63" t="s">
        <v>18</v>
      </c>
      <c r="D907" s="65" t="s">
        <v>593</v>
      </c>
      <c r="E907" s="66" t="s">
        <v>116</v>
      </c>
      <c r="F907" s="64">
        <v>45.16</v>
      </c>
      <c r="G907" s="252"/>
      <c r="H907" s="249">
        <f t="shared" si="217"/>
        <v>0</v>
      </c>
      <c r="I907" s="117">
        <f t="shared" si="208"/>
        <v>0</v>
      </c>
      <c r="J907" s="248" t="e">
        <f t="shared" si="218"/>
        <v>#DIV/0!</v>
      </c>
    </row>
    <row r="908" spans="1:11" s="100" customFormat="1" ht="19.5" customHeight="1" outlineLevel="1">
      <c r="A908" s="138" t="s">
        <v>1274</v>
      </c>
      <c r="B908" s="63" t="s">
        <v>10</v>
      </c>
      <c r="C908" s="63" t="str">
        <f>[1]Composições!$I$114</f>
        <v>COMP08</v>
      </c>
      <c r="D908" s="65" t="str">
        <f>[1]Composições!$B$114</f>
        <v>REQUADRO DE PORTAS E JANELAS</v>
      </c>
      <c r="E908" s="66" t="s">
        <v>116</v>
      </c>
      <c r="F908" s="64">
        <v>2.29</v>
      </c>
      <c r="G908" s="327"/>
      <c r="H908" s="325">
        <f t="shared" si="217"/>
        <v>0</v>
      </c>
      <c r="I908" s="117">
        <f t="shared" si="208"/>
        <v>0</v>
      </c>
      <c r="J908" s="324" t="e">
        <f t="shared" si="218"/>
        <v>#DIV/0!</v>
      </c>
    </row>
    <row r="909" spans="1:11" s="100" customFormat="1" ht="40.5" outlineLevel="1">
      <c r="A909" s="138" t="s">
        <v>1275</v>
      </c>
      <c r="B909" s="103">
        <v>94559</v>
      </c>
      <c r="C909" s="103" t="s">
        <v>18</v>
      </c>
      <c r="D909" s="65" t="s">
        <v>981</v>
      </c>
      <c r="E909" s="66" t="s">
        <v>116</v>
      </c>
      <c r="F909" s="64">
        <v>4.9000000000000004</v>
      </c>
      <c r="G909" s="147"/>
      <c r="H909" s="117">
        <f t="shared" si="217"/>
        <v>0</v>
      </c>
      <c r="I909" s="117">
        <f t="shared" si="208"/>
        <v>0</v>
      </c>
      <c r="J909" s="248" t="e">
        <f t="shared" si="218"/>
        <v>#DIV/0!</v>
      </c>
    </row>
    <row r="910" spans="1:11" s="100" customFormat="1" ht="15" customHeight="1" outlineLevel="1">
      <c r="A910" s="138" t="s">
        <v>1276</v>
      </c>
      <c r="B910" s="63" t="s">
        <v>11</v>
      </c>
      <c r="C910" s="63" t="s">
        <v>9</v>
      </c>
      <c r="D910" s="65" t="s">
        <v>398</v>
      </c>
      <c r="E910" s="66" t="s">
        <v>116</v>
      </c>
      <c r="F910" s="64">
        <v>3.4</v>
      </c>
      <c r="G910" s="252" t="s">
        <v>10</v>
      </c>
      <c r="H910" s="121"/>
      <c r="I910" s="117">
        <f t="shared" si="208"/>
        <v>0</v>
      </c>
      <c r="J910" s="248" t="e">
        <f t="shared" si="218"/>
        <v>#DIV/0!</v>
      </c>
    </row>
    <row r="911" spans="1:11" s="100" customFormat="1" outlineLevel="1">
      <c r="A911" s="138" t="s">
        <v>1277</v>
      </c>
      <c r="B911" s="63" t="s">
        <v>1235</v>
      </c>
      <c r="C911" s="63" t="s">
        <v>9</v>
      </c>
      <c r="D911" s="65" t="s">
        <v>1234</v>
      </c>
      <c r="E911" s="66" t="s">
        <v>115</v>
      </c>
      <c r="F911" s="69">
        <v>41.76</v>
      </c>
      <c r="G911" s="249" t="s">
        <v>10</v>
      </c>
      <c r="H911" s="121"/>
      <c r="I911" s="117">
        <f t="shared" si="208"/>
        <v>0</v>
      </c>
      <c r="J911" s="248" t="e">
        <f t="shared" si="218"/>
        <v>#DIV/0!</v>
      </c>
    </row>
    <row r="912" spans="1:11" s="100" customFormat="1" outlineLevel="1">
      <c r="A912" s="138" t="s">
        <v>1278</v>
      </c>
      <c r="B912" s="128" t="s">
        <v>1231</v>
      </c>
      <c r="C912" s="128" t="s">
        <v>9</v>
      </c>
      <c r="D912" s="82" t="s">
        <v>1230</v>
      </c>
      <c r="E912" s="66" t="s">
        <v>221</v>
      </c>
      <c r="F912" s="75">
        <v>1</v>
      </c>
      <c r="G912" s="84" t="s">
        <v>10</v>
      </c>
      <c r="H912" s="121"/>
      <c r="I912" s="117">
        <f t="shared" si="208"/>
        <v>0</v>
      </c>
      <c r="J912" s="248" t="e">
        <f t="shared" si="218"/>
        <v>#DIV/0!</v>
      </c>
    </row>
    <row r="913" spans="1:11" s="100" customFormat="1" outlineLevel="1">
      <c r="A913" s="138" t="s">
        <v>1279</v>
      </c>
      <c r="B913" s="128" t="s">
        <v>1233</v>
      </c>
      <c r="C913" s="128" t="s">
        <v>9</v>
      </c>
      <c r="D913" s="82" t="s">
        <v>1232</v>
      </c>
      <c r="E913" s="66" t="s">
        <v>221</v>
      </c>
      <c r="F913" s="75">
        <v>2</v>
      </c>
      <c r="G913" s="84" t="s">
        <v>10</v>
      </c>
      <c r="H913" s="121"/>
      <c r="I913" s="117">
        <f t="shared" si="208"/>
        <v>0</v>
      </c>
      <c r="J913" s="248" t="e">
        <f t="shared" si="218"/>
        <v>#DIV/0!</v>
      </c>
    </row>
    <row r="914" spans="1:11" s="100" customFormat="1" ht="27" outlineLevel="1">
      <c r="A914" s="138" t="s">
        <v>1280</v>
      </c>
      <c r="B914" s="63">
        <v>89957</v>
      </c>
      <c r="C914" s="63" t="s">
        <v>18</v>
      </c>
      <c r="D914" s="65" t="s">
        <v>1082</v>
      </c>
      <c r="E914" s="66" t="s">
        <v>221</v>
      </c>
      <c r="F914" s="64">
        <v>7</v>
      </c>
      <c r="G914" s="249"/>
      <c r="H914" s="121">
        <f>TRUNC((G914*(1+$I$12)),2)</f>
        <v>0</v>
      </c>
      <c r="I914" s="117">
        <f t="shared" si="208"/>
        <v>0</v>
      </c>
      <c r="J914" s="248" t="e">
        <f t="shared" si="218"/>
        <v>#DIV/0!</v>
      </c>
    </row>
    <row r="915" spans="1:11" s="100" customFormat="1" ht="27" outlineLevel="1">
      <c r="A915" s="138" t="s">
        <v>1281</v>
      </c>
      <c r="B915" s="103">
        <v>89712</v>
      </c>
      <c r="C915" s="103" t="s">
        <v>18</v>
      </c>
      <c r="D915" s="85" t="s">
        <v>1084</v>
      </c>
      <c r="E915" s="86" t="s">
        <v>115</v>
      </c>
      <c r="F915" s="80">
        <v>12</v>
      </c>
      <c r="G915" s="124"/>
      <c r="H915" s="125">
        <f>TRUNC((G915*(1+$I$12)),2)</f>
        <v>0</v>
      </c>
      <c r="I915" s="117">
        <f t="shared" si="208"/>
        <v>0</v>
      </c>
      <c r="J915" s="248" t="e">
        <f t="shared" si="218"/>
        <v>#DIV/0!</v>
      </c>
    </row>
    <row r="916" spans="1:11" s="100" customFormat="1" ht="27" outlineLevel="1">
      <c r="A916" s="138" t="s">
        <v>1282</v>
      </c>
      <c r="B916" s="63">
        <v>89714</v>
      </c>
      <c r="C916" s="63" t="s">
        <v>18</v>
      </c>
      <c r="D916" s="65" t="s">
        <v>1085</v>
      </c>
      <c r="E916" s="66" t="s">
        <v>115</v>
      </c>
      <c r="F916" s="64">
        <v>12</v>
      </c>
      <c r="G916" s="249"/>
      <c r="H916" s="121">
        <f>TRUNC((G916*(1+$I$12)),2)</f>
        <v>0</v>
      </c>
      <c r="I916" s="117">
        <f t="shared" si="208"/>
        <v>0</v>
      </c>
      <c r="J916" s="248" t="e">
        <f t="shared" si="218"/>
        <v>#DIV/0!</v>
      </c>
    </row>
    <row r="917" spans="1:11" s="100" customFormat="1" ht="15" customHeight="1" outlineLevel="1">
      <c r="A917" s="138" t="s">
        <v>1283</v>
      </c>
      <c r="B917" s="63" t="s">
        <v>1089</v>
      </c>
      <c r="C917" s="63" t="s">
        <v>9</v>
      </c>
      <c r="D917" s="65" t="s">
        <v>1088</v>
      </c>
      <c r="E917" s="66" t="s">
        <v>221</v>
      </c>
      <c r="F917" s="64">
        <v>2</v>
      </c>
      <c r="G917" s="249" t="s">
        <v>10</v>
      </c>
      <c r="H917" s="121"/>
      <c r="I917" s="117">
        <f t="shared" si="208"/>
        <v>0</v>
      </c>
      <c r="J917" s="248" t="e">
        <f t="shared" si="218"/>
        <v>#DIV/0!</v>
      </c>
    </row>
    <row r="918" spans="1:11" s="100" customFormat="1" ht="27" outlineLevel="1">
      <c r="A918" s="138" t="s">
        <v>1284</v>
      </c>
      <c r="B918" s="63">
        <v>86872</v>
      </c>
      <c r="C918" s="63" t="s">
        <v>18</v>
      </c>
      <c r="D918" s="65" t="s">
        <v>1236</v>
      </c>
      <c r="E918" s="66" t="s">
        <v>221</v>
      </c>
      <c r="F918" s="64">
        <v>2</v>
      </c>
      <c r="G918" s="376"/>
      <c r="H918" s="121">
        <f>TRUNC((G918*(1+$I$12)),2)</f>
        <v>0</v>
      </c>
      <c r="I918" s="117">
        <f t="shared" si="208"/>
        <v>0</v>
      </c>
      <c r="J918" s="248" t="e">
        <f t="shared" si="218"/>
        <v>#DIV/0!</v>
      </c>
    </row>
    <row r="919" spans="1:11" s="100" customFormat="1" ht="30.75" customHeight="1" outlineLevel="1">
      <c r="A919" s="138" t="s">
        <v>1285</v>
      </c>
      <c r="B919" s="63" t="s">
        <v>1229</v>
      </c>
      <c r="C919" s="63" t="s">
        <v>7</v>
      </c>
      <c r="D919" s="65" t="s">
        <v>1228</v>
      </c>
      <c r="E919" s="66" t="s">
        <v>116</v>
      </c>
      <c r="F919" s="64">
        <v>6.85</v>
      </c>
      <c r="G919" s="252"/>
      <c r="H919" s="121">
        <f>TRUNC((G919*(1+$I$12)),2)</f>
        <v>0</v>
      </c>
      <c r="I919" s="117">
        <f t="shared" si="208"/>
        <v>0</v>
      </c>
      <c r="J919" s="248" t="e">
        <f t="shared" si="218"/>
        <v>#DIV/0!</v>
      </c>
    </row>
    <row r="920" spans="1:11" s="100" customFormat="1" ht="15.95" customHeight="1" outlineLevel="1">
      <c r="A920" s="367" t="s">
        <v>1286</v>
      </c>
      <c r="B920" s="103" t="s">
        <v>10</v>
      </c>
      <c r="C920" s="103" t="str">
        <f>[1]Composições!$I$107</f>
        <v>COMP07</v>
      </c>
      <c r="D920" s="85" t="str">
        <f>[1]Composições!$B$107</f>
        <v>INSTALAÇÃO DE VENTILADOR</v>
      </c>
      <c r="E920" s="86" t="s">
        <v>221</v>
      </c>
      <c r="F920" s="80">
        <v>1</v>
      </c>
      <c r="G920" s="271"/>
      <c r="H920" s="124">
        <f>TRUNC((G920*(1+$I$12)),2)</f>
        <v>0</v>
      </c>
      <c r="I920" s="117">
        <f>ROUND((F920*H920),2)</f>
        <v>0</v>
      </c>
      <c r="J920" s="324" t="e">
        <f t="shared" si="218"/>
        <v>#DIV/0!</v>
      </c>
    </row>
    <row r="921" spans="1:11" s="157" customFormat="1">
      <c r="A921" s="378" t="s">
        <v>1287</v>
      </c>
      <c r="B921" s="378"/>
      <c r="C921" s="378"/>
      <c r="D921" s="378"/>
      <c r="E921" s="378"/>
      <c r="F921" s="378"/>
      <c r="G921" s="378"/>
      <c r="H921" s="378"/>
      <c r="I921" s="175">
        <f>SUM(I870:I920)</f>
        <v>0</v>
      </c>
      <c r="J921" s="144" t="e">
        <f>SUM(J870:J920)</f>
        <v>#DIV/0!</v>
      </c>
      <c r="K921" s="318" t="e">
        <f>I921/$I$944</f>
        <v>#DIV/0!</v>
      </c>
    </row>
    <row r="922" spans="1:11" ht="15" customHeight="1">
      <c r="A922" s="141" t="s">
        <v>1290</v>
      </c>
      <c r="B922" s="422"/>
      <c r="C922" s="422"/>
      <c r="D922" s="368" t="s">
        <v>1881</v>
      </c>
      <c r="E922" s="420"/>
      <c r="F922" s="420"/>
      <c r="G922" s="420"/>
      <c r="H922" s="420"/>
      <c r="I922" s="382"/>
      <c r="J922" s="419"/>
    </row>
    <row r="923" spans="1:11" s="100" customFormat="1" ht="28.5" customHeight="1" outlineLevel="1">
      <c r="A923" s="138" t="s">
        <v>1291</v>
      </c>
      <c r="B923" s="103" t="s">
        <v>478</v>
      </c>
      <c r="C923" s="103" t="s">
        <v>7</v>
      </c>
      <c r="D923" s="257" t="s">
        <v>930</v>
      </c>
      <c r="E923" s="87" t="s">
        <v>218</v>
      </c>
      <c r="F923" s="80">
        <f>3.89*0.25</f>
        <v>0.97250000000000003</v>
      </c>
      <c r="G923" s="376"/>
      <c r="H923" s="376">
        <f t="shared" ref="H923" si="220">TRUNC((G923*(1+$I$12)),2)</f>
        <v>0</v>
      </c>
      <c r="I923" s="121">
        <f t="shared" ref="I923:I931" si="221">ROUND((F923*H923),2)</f>
        <v>0</v>
      </c>
      <c r="J923" s="248" t="e">
        <f t="shared" ref="J923:J932" si="222">(I923/$I$1421)</f>
        <v>#DIV/0!</v>
      </c>
    </row>
    <row r="924" spans="1:11" s="100" customFormat="1" ht="15.95" customHeight="1" outlineLevel="1">
      <c r="A924" s="138" t="s">
        <v>1292</v>
      </c>
      <c r="B924" s="63" t="s">
        <v>120</v>
      </c>
      <c r="C924" s="63" t="s">
        <v>7</v>
      </c>
      <c r="D924" s="65" t="s">
        <v>121</v>
      </c>
      <c r="E924" s="66" t="s">
        <v>116</v>
      </c>
      <c r="F924" s="64">
        <v>3.75</v>
      </c>
      <c r="G924" s="347"/>
      <c r="H924" s="347">
        <f t="shared" ref="H924" si="223">TRUNC((G924*(1+$I$12)),2)</f>
        <v>0</v>
      </c>
      <c r="I924" s="117">
        <f t="shared" si="221"/>
        <v>0</v>
      </c>
      <c r="J924" s="346" t="e">
        <f t="shared" si="222"/>
        <v>#DIV/0!</v>
      </c>
    </row>
    <row r="925" spans="1:11" s="100" customFormat="1" ht="40.5" outlineLevel="1">
      <c r="A925" s="138" t="s">
        <v>1293</v>
      </c>
      <c r="B925" s="63">
        <v>100983</v>
      </c>
      <c r="C925" s="63" t="s">
        <v>18</v>
      </c>
      <c r="D925" s="65" t="s">
        <v>1896</v>
      </c>
      <c r="E925" s="66" t="s">
        <v>218</v>
      </c>
      <c r="F925" s="64">
        <f>(F923+(3.75*0.01))*1.3</f>
        <v>1.3130000000000002</v>
      </c>
      <c r="G925" s="350"/>
      <c r="H925" s="350">
        <f t="shared" ref="H925:H926" si="224">TRUNC((G925*(1+$I$12)),2)</f>
        <v>0</v>
      </c>
      <c r="I925" s="121">
        <f t="shared" si="221"/>
        <v>0</v>
      </c>
      <c r="J925" s="349" t="e">
        <f t="shared" si="222"/>
        <v>#DIV/0!</v>
      </c>
    </row>
    <row r="926" spans="1:11" s="100" customFormat="1" ht="27" outlineLevel="1">
      <c r="A926" s="138" t="s">
        <v>1296</v>
      </c>
      <c r="B926" s="63">
        <v>95875</v>
      </c>
      <c r="C926" s="63" t="s">
        <v>18</v>
      </c>
      <c r="D926" s="65" t="s">
        <v>1898</v>
      </c>
      <c r="E926" s="66" t="s">
        <v>1897</v>
      </c>
      <c r="F926" s="64">
        <f>F925*4</f>
        <v>5.2520000000000007</v>
      </c>
      <c r="G926" s="350"/>
      <c r="H926" s="350">
        <f t="shared" si="224"/>
        <v>0</v>
      </c>
      <c r="I926" s="121">
        <f t="shared" si="221"/>
        <v>0</v>
      </c>
      <c r="J926" s="349" t="e">
        <f t="shared" si="222"/>
        <v>#DIV/0!</v>
      </c>
    </row>
    <row r="927" spans="1:11" s="100" customFormat="1" ht="27" outlineLevel="1">
      <c r="A927" s="138" t="s">
        <v>1855</v>
      </c>
      <c r="B927" s="63">
        <v>87246</v>
      </c>
      <c r="C927" s="63" t="s">
        <v>18</v>
      </c>
      <c r="D927" s="65" t="s">
        <v>1880</v>
      </c>
      <c r="E927" s="66" t="s">
        <v>116</v>
      </c>
      <c r="F927" s="64">
        <v>3.75</v>
      </c>
      <c r="G927" s="376"/>
      <c r="H927" s="376">
        <f t="shared" ref="H927" si="225">TRUNC((G927*(1+$I$12)),2)</f>
        <v>0</v>
      </c>
      <c r="I927" s="121">
        <f t="shared" ref="I927:I929" si="226">ROUND((F927*H927),2)</f>
        <v>0</v>
      </c>
      <c r="J927" s="346" t="e">
        <f t="shared" si="222"/>
        <v>#DIV/0!</v>
      </c>
    </row>
    <row r="928" spans="1:11" s="100" customFormat="1" ht="15.95" customHeight="1" outlineLevel="1">
      <c r="A928" s="138" t="s">
        <v>1882</v>
      </c>
      <c r="B928" s="63">
        <v>88495</v>
      </c>
      <c r="C928" s="63" t="s">
        <v>18</v>
      </c>
      <c r="D928" s="65" t="s">
        <v>393</v>
      </c>
      <c r="E928" s="66" t="s">
        <v>116</v>
      </c>
      <c r="F928" s="64">
        <f>5.5*1.5*2</f>
        <v>16.5</v>
      </c>
      <c r="G928" s="137"/>
      <c r="H928" s="117">
        <f t="shared" ref="H928:H929" si="227">TRUNC((G928*(1+$I$12)),2)</f>
        <v>0</v>
      </c>
      <c r="I928" s="117">
        <f t="shared" si="226"/>
        <v>0</v>
      </c>
      <c r="J928" s="246" t="e">
        <f t="shared" si="222"/>
        <v>#DIV/0!</v>
      </c>
    </row>
    <row r="929" spans="1:11" s="100" customFormat="1" outlineLevel="1">
      <c r="A929" s="138" t="s">
        <v>1883</v>
      </c>
      <c r="B929" s="63">
        <v>88489</v>
      </c>
      <c r="C929" s="63" t="s">
        <v>18</v>
      </c>
      <c r="D929" s="65" t="s">
        <v>36</v>
      </c>
      <c r="E929" s="66" t="s">
        <v>116</v>
      </c>
      <c r="F929" s="64">
        <f>F928</f>
        <v>16.5</v>
      </c>
      <c r="G929" s="137"/>
      <c r="H929" s="117">
        <f t="shared" si="227"/>
        <v>0</v>
      </c>
      <c r="I929" s="117">
        <f t="shared" si="226"/>
        <v>0</v>
      </c>
      <c r="J929" s="246" t="e">
        <f t="shared" si="222"/>
        <v>#DIV/0!</v>
      </c>
    </row>
    <row r="930" spans="1:11" s="100" customFormat="1" ht="15.95" customHeight="1" outlineLevel="1">
      <c r="A930" s="138" t="s">
        <v>1884</v>
      </c>
      <c r="B930" s="63" t="s">
        <v>1289</v>
      </c>
      <c r="C930" s="63" t="s">
        <v>9</v>
      </c>
      <c r="D930" s="65" t="s">
        <v>1288</v>
      </c>
      <c r="E930" s="68" t="s">
        <v>221</v>
      </c>
      <c r="F930" s="64">
        <v>1</v>
      </c>
      <c r="G930" s="137" t="s">
        <v>10</v>
      </c>
      <c r="H930" s="249"/>
      <c r="I930" s="121">
        <f t="shared" si="221"/>
        <v>0</v>
      </c>
      <c r="J930" s="248" t="e">
        <f t="shared" si="222"/>
        <v>#DIV/0!</v>
      </c>
    </row>
    <row r="931" spans="1:11" s="100" customFormat="1" ht="15.95" customHeight="1" outlineLevel="1">
      <c r="A931" s="138" t="s">
        <v>1885</v>
      </c>
      <c r="B931" s="63" t="s">
        <v>1295</v>
      </c>
      <c r="C931" s="63" t="s">
        <v>7</v>
      </c>
      <c r="D931" s="65" t="s">
        <v>1294</v>
      </c>
      <c r="E931" s="66" t="s">
        <v>115</v>
      </c>
      <c r="F931" s="64">
        <v>10</v>
      </c>
      <c r="G931" s="137"/>
      <c r="H931" s="117">
        <f t="shared" ref="H931:H932" si="228">TRUNC((G931*(1+$I$12)),2)</f>
        <v>0</v>
      </c>
      <c r="I931" s="121">
        <f t="shared" si="221"/>
        <v>0</v>
      </c>
      <c r="J931" s="248" t="e">
        <f t="shared" si="222"/>
        <v>#DIV/0!</v>
      </c>
    </row>
    <row r="932" spans="1:11" s="100" customFormat="1" ht="15.95" customHeight="1" outlineLevel="1">
      <c r="A932" s="138" t="s">
        <v>1940</v>
      </c>
      <c r="B932" s="128">
        <v>103029</v>
      </c>
      <c r="C932" s="128" t="s">
        <v>18</v>
      </c>
      <c r="D932" s="82" t="s">
        <v>1854</v>
      </c>
      <c r="E932" s="83" t="s">
        <v>221</v>
      </c>
      <c r="F932" s="75">
        <v>2</v>
      </c>
      <c r="G932" s="137"/>
      <c r="H932" s="117">
        <f t="shared" si="228"/>
        <v>0</v>
      </c>
      <c r="I932" s="121">
        <f t="shared" ref="I932" si="229">ROUND((F932*H932),2)</f>
        <v>0</v>
      </c>
      <c r="J932" s="343" t="e">
        <f t="shared" si="222"/>
        <v>#DIV/0!</v>
      </c>
    </row>
    <row r="933" spans="1:11" s="157" customFormat="1">
      <c r="A933" s="387" t="s">
        <v>1374</v>
      </c>
      <c r="B933" s="387"/>
      <c r="C933" s="387"/>
      <c r="D933" s="387"/>
      <c r="E933" s="387"/>
      <c r="F933" s="387"/>
      <c r="G933" s="387"/>
      <c r="H933" s="387"/>
      <c r="I933" s="175">
        <f>SUM(I923:I932)</f>
        <v>0</v>
      </c>
      <c r="J933" s="144" t="e">
        <f>SUM(J923:J932)</f>
        <v>#DIV/0!</v>
      </c>
      <c r="K933" s="318" t="e">
        <f>I933/$I$944</f>
        <v>#DIV/0!</v>
      </c>
    </row>
    <row r="934" spans="1:11" ht="15.95" customHeight="1">
      <c r="A934" s="61" t="s">
        <v>1886</v>
      </c>
      <c r="B934" s="234"/>
      <c r="C934" s="96"/>
      <c r="D934" s="143" t="s">
        <v>881</v>
      </c>
      <c r="E934" s="384"/>
      <c r="F934" s="385"/>
      <c r="G934" s="385"/>
      <c r="H934" s="385"/>
      <c r="I934" s="385"/>
      <c r="J934" s="386"/>
    </row>
    <row r="935" spans="1:11" s="157" customFormat="1" ht="15.95" customHeight="1" outlineLevel="1">
      <c r="A935" s="63" t="s">
        <v>1887</v>
      </c>
      <c r="B935" s="108" t="s">
        <v>127</v>
      </c>
      <c r="C935" s="108" t="s">
        <v>7</v>
      </c>
      <c r="D935" s="129" t="s">
        <v>128</v>
      </c>
      <c r="E935" s="66" t="s">
        <v>218</v>
      </c>
      <c r="F935" s="64">
        <f>85.1*0.1</f>
        <v>8.51</v>
      </c>
      <c r="G935" s="347"/>
      <c r="H935" s="347">
        <f t="shared" ref="H935:H942" si="230">TRUNC((G935*(1+$I$12)),2)</f>
        <v>0</v>
      </c>
      <c r="I935" s="347">
        <f t="shared" ref="I935:I942" si="231">ROUND((F935*H935),2)</f>
        <v>0</v>
      </c>
      <c r="J935" s="346" t="e">
        <f t="shared" ref="J935:J942" si="232">(I935/$I$1421)</f>
        <v>#DIV/0!</v>
      </c>
    </row>
    <row r="936" spans="1:11" s="157" customFormat="1" ht="40.5" outlineLevel="1">
      <c r="A936" s="63" t="s">
        <v>1888</v>
      </c>
      <c r="B936" s="63">
        <v>100983</v>
      </c>
      <c r="C936" s="63" t="s">
        <v>18</v>
      </c>
      <c r="D936" s="65" t="s">
        <v>1896</v>
      </c>
      <c r="E936" s="66" t="s">
        <v>218</v>
      </c>
      <c r="F936" s="64">
        <f>F935*1.3</f>
        <v>11.063000000000001</v>
      </c>
      <c r="G936" s="350"/>
      <c r="H936" s="350">
        <f t="shared" si="230"/>
        <v>0</v>
      </c>
      <c r="I936" s="121">
        <f t="shared" si="231"/>
        <v>0</v>
      </c>
      <c r="J936" s="349" t="e">
        <f t="shared" si="232"/>
        <v>#DIV/0!</v>
      </c>
    </row>
    <row r="937" spans="1:11" s="157" customFormat="1" ht="27" outlineLevel="1">
      <c r="A937" s="63" t="s">
        <v>1889</v>
      </c>
      <c r="B937" s="63">
        <v>95875</v>
      </c>
      <c r="C937" s="63" t="s">
        <v>18</v>
      </c>
      <c r="D937" s="65" t="s">
        <v>1898</v>
      </c>
      <c r="E937" s="66" t="s">
        <v>1897</v>
      </c>
      <c r="F937" s="64">
        <f>F936*4</f>
        <v>44.252000000000002</v>
      </c>
      <c r="G937" s="350"/>
      <c r="H937" s="350">
        <f t="shared" si="230"/>
        <v>0</v>
      </c>
      <c r="I937" s="121">
        <f t="shared" si="231"/>
        <v>0</v>
      </c>
      <c r="J937" s="349" t="e">
        <f t="shared" si="232"/>
        <v>#DIV/0!</v>
      </c>
    </row>
    <row r="938" spans="1:11" s="157" customFormat="1" ht="27" outlineLevel="1">
      <c r="A938" s="63" t="s">
        <v>1890</v>
      </c>
      <c r="B938" s="63">
        <v>97084</v>
      </c>
      <c r="C938" s="63" t="s">
        <v>18</v>
      </c>
      <c r="D938" s="65" t="s">
        <v>791</v>
      </c>
      <c r="E938" s="68" t="s">
        <v>116</v>
      </c>
      <c r="F938" s="64">
        <v>85.1</v>
      </c>
      <c r="G938" s="347"/>
      <c r="H938" s="347">
        <f t="shared" si="230"/>
        <v>0</v>
      </c>
      <c r="I938" s="347">
        <f t="shared" si="231"/>
        <v>0</v>
      </c>
      <c r="J938" s="346" t="e">
        <f t="shared" si="232"/>
        <v>#DIV/0!</v>
      </c>
    </row>
    <row r="939" spans="1:11" s="100" customFormat="1" ht="27" outlineLevel="1">
      <c r="A939" s="63" t="s">
        <v>1891</v>
      </c>
      <c r="B939" s="128">
        <v>96622</v>
      </c>
      <c r="C939" s="128" t="s">
        <v>18</v>
      </c>
      <c r="D939" s="82" t="s">
        <v>1895</v>
      </c>
      <c r="E939" s="88" t="s">
        <v>218</v>
      </c>
      <c r="F939" s="75">
        <f>F938*0.05</f>
        <v>4.2549999999999999</v>
      </c>
      <c r="G939" s="145"/>
      <c r="H939" s="84">
        <f t="shared" si="230"/>
        <v>0</v>
      </c>
      <c r="I939" s="347">
        <f t="shared" si="231"/>
        <v>0</v>
      </c>
      <c r="J939" s="346" t="e">
        <f t="shared" si="232"/>
        <v>#DIV/0!</v>
      </c>
    </row>
    <row r="940" spans="1:11" s="100" customFormat="1" ht="27" outlineLevel="1">
      <c r="A940" s="63" t="s">
        <v>1892</v>
      </c>
      <c r="B940" s="63">
        <v>94993</v>
      </c>
      <c r="C940" s="63" t="s">
        <v>18</v>
      </c>
      <c r="D940" s="65" t="s">
        <v>790</v>
      </c>
      <c r="E940" s="68" t="s">
        <v>116</v>
      </c>
      <c r="F940" s="64">
        <v>85.1</v>
      </c>
      <c r="G940" s="348"/>
      <c r="H940" s="347">
        <f t="shared" si="230"/>
        <v>0</v>
      </c>
      <c r="I940" s="347">
        <f t="shared" si="231"/>
        <v>0</v>
      </c>
      <c r="J940" s="346" t="e">
        <f t="shared" si="232"/>
        <v>#DIV/0!</v>
      </c>
    </row>
    <row r="941" spans="1:11" s="157" customFormat="1" ht="15.95" customHeight="1" outlineLevel="1">
      <c r="A941" s="63" t="s">
        <v>1893</v>
      </c>
      <c r="B941" s="5" t="s">
        <v>129</v>
      </c>
      <c r="C941" s="5" t="s">
        <v>7</v>
      </c>
      <c r="D941" s="106" t="s">
        <v>130</v>
      </c>
      <c r="E941" s="68" t="s">
        <v>116</v>
      </c>
      <c r="F941" s="64">
        <f>F940</f>
        <v>85.1</v>
      </c>
      <c r="G941" s="348"/>
      <c r="H941" s="347">
        <f t="shared" si="230"/>
        <v>0</v>
      </c>
      <c r="I941" s="347">
        <f t="shared" si="231"/>
        <v>0</v>
      </c>
      <c r="J941" s="346" t="e">
        <f t="shared" si="232"/>
        <v>#DIV/0!</v>
      </c>
    </row>
    <row r="942" spans="1:11" s="157" customFormat="1" ht="27" outlineLevel="1">
      <c r="A942" s="63" t="s">
        <v>1941</v>
      </c>
      <c r="B942" s="5">
        <v>102491</v>
      </c>
      <c r="C942" s="5" t="s">
        <v>18</v>
      </c>
      <c r="D942" s="106" t="s">
        <v>788</v>
      </c>
      <c r="E942" s="68" t="s">
        <v>116</v>
      </c>
      <c r="F942" s="64">
        <f>F941</f>
        <v>85.1</v>
      </c>
      <c r="G942" s="347"/>
      <c r="H942" s="347">
        <f t="shared" si="230"/>
        <v>0</v>
      </c>
      <c r="I942" s="347">
        <f t="shared" si="231"/>
        <v>0</v>
      </c>
      <c r="J942" s="346" t="e">
        <f t="shared" si="232"/>
        <v>#DIV/0!</v>
      </c>
    </row>
    <row r="943" spans="1:11" s="157" customFormat="1">
      <c r="A943" s="387" t="s">
        <v>1877</v>
      </c>
      <c r="B943" s="387"/>
      <c r="C943" s="387"/>
      <c r="D943" s="387"/>
      <c r="E943" s="387"/>
      <c r="F943" s="387"/>
      <c r="G943" s="387"/>
      <c r="H943" s="387"/>
      <c r="I943" s="175">
        <f>SUM(I935:I942)</f>
        <v>0</v>
      </c>
      <c r="J943" s="144" t="e">
        <f>SUM(J935:J942)</f>
        <v>#DIV/0!</v>
      </c>
    </row>
    <row r="944" spans="1:11" s="157" customFormat="1">
      <c r="A944" s="387" t="s">
        <v>1299</v>
      </c>
      <c r="B944" s="387"/>
      <c r="C944" s="387"/>
      <c r="D944" s="387"/>
      <c r="E944" s="387"/>
      <c r="F944" s="387"/>
      <c r="G944" s="387"/>
      <c r="H944" s="387"/>
      <c r="I944" s="175">
        <f>I617+I647+I685+I723+I747+I788+I829+I868+I921+I933+I943</f>
        <v>0</v>
      </c>
      <c r="J944" s="144" t="e">
        <f>J617+J647+J685+J723+J747+J788+J829+J868+J921+J933+J943</f>
        <v>#DIV/0!</v>
      </c>
    </row>
    <row r="945" spans="1:11" ht="16.5" customHeight="1">
      <c r="A945" s="62" t="s">
        <v>16</v>
      </c>
      <c r="B945" s="383"/>
      <c r="C945" s="383"/>
      <c r="D945" s="76" t="s">
        <v>142</v>
      </c>
      <c r="E945" s="379"/>
      <c r="F945" s="379"/>
      <c r="G945" s="379"/>
      <c r="H945" s="379"/>
      <c r="I945" s="379"/>
      <c r="J945" s="380"/>
    </row>
    <row r="946" spans="1:11" ht="15.95" customHeight="1">
      <c r="A946" s="61" t="s">
        <v>1131</v>
      </c>
      <c r="B946" s="394"/>
      <c r="C946" s="394"/>
      <c r="D946" s="143" t="s">
        <v>783</v>
      </c>
      <c r="E946" s="394"/>
      <c r="F946" s="394"/>
      <c r="G946" s="394"/>
      <c r="H946" s="394"/>
      <c r="I946" s="394"/>
      <c r="J946" s="394"/>
    </row>
    <row r="947" spans="1:11" s="157" customFormat="1" ht="15.95" customHeight="1" outlineLevel="1">
      <c r="A947" s="63" t="s">
        <v>1303</v>
      </c>
      <c r="B947" s="63" t="s">
        <v>133</v>
      </c>
      <c r="C947" s="63" t="s">
        <v>7</v>
      </c>
      <c r="D947" s="65" t="s">
        <v>134</v>
      </c>
      <c r="E947" s="66" t="s">
        <v>115</v>
      </c>
      <c r="F947" s="64">
        <v>64.209999999999994</v>
      </c>
      <c r="G947" s="249"/>
      <c r="H947" s="249">
        <f>TRUNC((G947*(1+$I$12)),2)</f>
        <v>0</v>
      </c>
      <c r="I947" s="249">
        <f t="shared" ref="I947:I957" si="233">ROUND((F947*H947),2)</f>
        <v>0</v>
      </c>
      <c r="J947" s="248" t="e">
        <f t="shared" ref="J947:J957" si="234">(I947/$I$1421)</f>
        <v>#DIV/0!</v>
      </c>
    </row>
    <row r="948" spans="1:11" s="157" customFormat="1" ht="15.95" customHeight="1" outlineLevel="1">
      <c r="A948" s="63" t="s">
        <v>1304</v>
      </c>
      <c r="B948" s="67" t="s">
        <v>776</v>
      </c>
      <c r="C948" s="63" t="s">
        <v>9</v>
      </c>
      <c r="D948" s="65" t="s">
        <v>777</v>
      </c>
      <c r="E948" s="67" t="s">
        <v>116</v>
      </c>
      <c r="F948" s="67">
        <v>725.59</v>
      </c>
      <c r="G948" s="188" t="s">
        <v>10</v>
      </c>
      <c r="H948" s="249"/>
      <c r="I948" s="249">
        <f t="shared" si="233"/>
        <v>0</v>
      </c>
      <c r="J948" s="248" t="e">
        <f t="shared" si="234"/>
        <v>#DIV/0!</v>
      </c>
    </row>
    <row r="949" spans="1:11" s="100" customFormat="1" ht="15" customHeight="1" outlineLevel="1">
      <c r="A949" s="63" t="s">
        <v>1305</v>
      </c>
      <c r="B949" s="67" t="s">
        <v>10</v>
      </c>
      <c r="C949" s="67" t="str">
        <f>[1]Composições!I124</f>
        <v>COMP09</v>
      </c>
      <c r="D949" s="277" t="str">
        <f>[1]Composições!B124</f>
        <v>CARREGAMENTO MANUAL DE TELHAS CERÂMICAS COM PALLETS EM CAMINHÃO</v>
      </c>
      <c r="E949" s="67" t="s">
        <v>116</v>
      </c>
      <c r="F949" s="99">
        <f>F948</f>
        <v>725.59</v>
      </c>
      <c r="G949" s="188"/>
      <c r="H949" s="337">
        <f t="shared" ref="H949:H954" si="235">TRUNC((G949*(1+$I$12)),2)</f>
        <v>0</v>
      </c>
      <c r="I949" s="337">
        <f t="shared" si="233"/>
        <v>0</v>
      </c>
      <c r="J949" s="336" t="e">
        <f t="shared" si="234"/>
        <v>#DIV/0!</v>
      </c>
    </row>
    <row r="950" spans="1:11" s="100" customFormat="1" ht="27" outlineLevel="1">
      <c r="A950" s="63" t="s">
        <v>1306</v>
      </c>
      <c r="B950" s="67">
        <v>100947</v>
      </c>
      <c r="C950" s="67" t="s">
        <v>18</v>
      </c>
      <c r="D950" s="97" t="s">
        <v>780</v>
      </c>
      <c r="E950" s="67" t="s">
        <v>781</v>
      </c>
      <c r="F950" s="99">
        <f>(F949/2.6)</f>
        <v>279.07307692307694</v>
      </c>
      <c r="G950" s="337"/>
      <c r="H950" s="337">
        <f t="shared" si="235"/>
        <v>0</v>
      </c>
      <c r="I950" s="337">
        <f t="shared" si="233"/>
        <v>0</v>
      </c>
      <c r="J950" s="336" t="e">
        <f t="shared" si="234"/>
        <v>#DIV/0!</v>
      </c>
    </row>
    <row r="951" spans="1:11" s="100" customFormat="1" ht="27" outlineLevel="1">
      <c r="A951" s="63" t="s">
        <v>1307</v>
      </c>
      <c r="B951" s="67" t="s">
        <v>10</v>
      </c>
      <c r="C951" s="67" t="str">
        <f>[1]Composições!I130</f>
        <v>COMP10</v>
      </c>
      <c r="D951" s="97" t="str">
        <f>[1]Composições!B130</f>
        <v>DESCARREGAMENTO MANUAL DE TELHAS CERÂMICAS EM PALLETS DE CAMINHÃO E ARRUMAÇÃO EM LOCAL INDICADO</v>
      </c>
      <c r="E951" s="67" t="s">
        <v>116</v>
      </c>
      <c r="F951" s="99">
        <f>F949</f>
        <v>725.59</v>
      </c>
      <c r="G951" s="278"/>
      <c r="H951" s="337">
        <f t="shared" si="235"/>
        <v>0</v>
      </c>
      <c r="I951" s="337">
        <f t="shared" si="233"/>
        <v>0</v>
      </c>
      <c r="J951" s="336" t="e">
        <f t="shared" si="234"/>
        <v>#DIV/0!</v>
      </c>
    </row>
    <row r="952" spans="1:11" s="100" customFormat="1" ht="27.75" customHeight="1" outlineLevel="1">
      <c r="A952" s="63" t="s">
        <v>1308</v>
      </c>
      <c r="B952" s="63">
        <v>97652</v>
      </c>
      <c r="C952" s="63" t="s">
        <v>18</v>
      </c>
      <c r="D952" s="65" t="s">
        <v>171</v>
      </c>
      <c r="E952" s="66" t="s">
        <v>221</v>
      </c>
      <c r="F952" s="64">
        <v>19</v>
      </c>
      <c r="G952" s="337"/>
      <c r="H952" s="337">
        <f t="shared" si="235"/>
        <v>0</v>
      </c>
      <c r="I952" s="337">
        <f t="shared" si="233"/>
        <v>0</v>
      </c>
      <c r="J952" s="336" t="e">
        <f t="shared" si="234"/>
        <v>#DIV/0!</v>
      </c>
    </row>
    <row r="953" spans="1:11" s="100" customFormat="1" outlineLevel="1">
      <c r="A953" s="63" t="s">
        <v>1309</v>
      </c>
      <c r="B953" s="63" t="s">
        <v>779</v>
      </c>
      <c r="C953" s="63" t="s">
        <v>7</v>
      </c>
      <c r="D953" s="65" t="s">
        <v>778</v>
      </c>
      <c r="E953" s="123" t="s">
        <v>116</v>
      </c>
      <c r="F953" s="64">
        <v>725.59</v>
      </c>
      <c r="G953" s="337"/>
      <c r="H953" s="337">
        <f t="shared" si="235"/>
        <v>0</v>
      </c>
      <c r="I953" s="337">
        <f t="shared" si="233"/>
        <v>0</v>
      </c>
      <c r="J953" s="336" t="e">
        <f t="shared" si="234"/>
        <v>#DIV/0!</v>
      </c>
    </row>
    <row r="954" spans="1:11" s="100" customFormat="1" ht="15" customHeight="1" outlineLevel="1">
      <c r="A954" s="63" t="s">
        <v>1310</v>
      </c>
      <c r="B954" s="268">
        <v>97650</v>
      </c>
      <c r="C954" s="268" t="s">
        <v>18</v>
      </c>
      <c r="D954" s="269" t="s">
        <v>170</v>
      </c>
      <c r="E954" s="270" t="s">
        <v>116</v>
      </c>
      <c r="F954" s="75">
        <v>725.59</v>
      </c>
      <c r="G954" s="145"/>
      <c r="H954" s="84">
        <f t="shared" si="235"/>
        <v>0</v>
      </c>
      <c r="I954" s="337">
        <f t="shared" si="233"/>
        <v>0</v>
      </c>
      <c r="J954" s="336" t="e">
        <f t="shared" si="234"/>
        <v>#DIV/0!</v>
      </c>
    </row>
    <row r="955" spans="1:11" s="100" customFormat="1" ht="15" customHeight="1" outlineLevel="1">
      <c r="A955" s="63" t="s">
        <v>1792</v>
      </c>
      <c r="B955" s="63" t="s">
        <v>10</v>
      </c>
      <c r="C955" s="63" t="str">
        <f>[1]Composições!I156</f>
        <v>COMP13</v>
      </c>
      <c r="D955" s="65" t="str">
        <f>[1]Composições!B156</f>
        <v>CARREGAMENTO MANUAL DE ESTRUTURA DE MADEIRA PROVENIENTES DE TELHADOS, EM CAMINHÃO</v>
      </c>
      <c r="E955" s="270" t="s">
        <v>116</v>
      </c>
      <c r="F955" s="64">
        <f>F954</f>
        <v>725.59</v>
      </c>
      <c r="G955" s="337"/>
      <c r="H955" s="84">
        <f t="shared" ref="H955:H957" si="236">TRUNC((G955*(1+$I$12)),2)</f>
        <v>0</v>
      </c>
      <c r="I955" s="337">
        <f t="shared" si="233"/>
        <v>0</v>
      </c>
      <c r="J955" s="336" t="e">
        <f t="shared" si="234"/>
        <v>#DIV/0!</v>
      </c>
    </row>
    <row r="956" spans="1:11" s="100" customFormat="1" ht="27" outlineLevel="1">
      <c r="A956" s="63" t="s">
        <v>1793</v>
      </c>
      <c r="B956" s="67">
        <v>100947</v>
      </c>
      <c r="C956" s="67" t="s">
        <v>18</v>
      </c>
      <c r="D956" s="97" t="s">
        <v>780</v>
      </c>
      <c r="E956" s="67" t="s">
        <v>781</v>
      </c>
      <c r="F956" s="99">
        <f>(F955/2.6)</f>
        <v>279.07307692307694</v>
      </c>
      <c r="G956" s="337"/>
      <c r="H956" s="84">
        <f t="shared" si="236"/>
        <v>0</v>
      </c>
      <c r="I956" s="337">
        <f t="shared" si="233"/>
        <v>0</v>
      </c>
      <c r="J956" s="336" t="e">
        <f t="shared" si="234"/>
        <v>#DIV/0!</v>
      </c>
    </row>
    <row r="957" spans="1:11" s="100" customFormat="1" ht="27" outlineLevel="1">
      <c r="A957" s="63" t="s">
        <v>1794</v>
      </c>
      <c r="B957" s="63" t="s">
        <v>10</v>
      </c>
      <c r="C957" s="63" t="str">
        <f>[1]Composições!I162</f>
        <v>COMP14</v>
      </c>
      <c r="D957" s="65" t="str">
        <f>[1]Composições!B162</f>
        <v>DESCARREGAMENTO MANUAL DE CAMINHÃO, DE ESTRUTURA DE MADEIRA PROVENIENTES DE TELHADOS E ARRUMAÇÃO EM LOCAL INDICADO</v>
      </c>
      <c r="E957" s="270" t="s">
        <v>116</v>
      </c>
      <c r="F957" s="64">
        <f>F955</f>
        <v>725.59</v>
      </c>
      <c r="G957" s="337"/>
      <c r="H957" s="84">
        <f t="shared" si="236"/>
        <v>0</v>
      </c>
      <c r="I957" s="337">
        <f t="shared" si="233"/>
        <v>0</v>
      </c>
      <c r="J957" s="336" t="e">
        <f t="shared" si="234"/>
        <v>#DIV/0!</v>
      </c>
    </row>
    <row r="958" spans="1:11" s="157" customFormat="1">
      <c r="A958" s="378" t="s">
        <v>1311</v>
      </c>
      <c r="B958" s="378"/>
      <c r="C958" s="378"/>
      <c r="D958" s="378"/>
      <c r="E958" s="378"/>
      <c r="F958" s="378"/>
      <c r="G958" s="378"/>
      <c r="H958" s="378"/>
      <c r="I958" s="177">
        <f>SUM(I947:I957)</f>
        <v>0</v>
      </c>
      <c r="J958" s="144" t="e">
        <f>SUM(J947:J957)</f>
        <v>#DIV/0!</v>
      </c>
      <c r="K958" s="318" t="e">
        <f>I958/$I$1052</f>
        <v>#DIV/0!</v>
      </c>
    </row>
    <row r="959" spans="1:11" ht="15.95" customHeight="1">
      <c r="A959" s="61" t="s">
        <v>1312</v>
      </c>
      <c r="B959" s="394"/>
      <c r="C959" s="394"/>
      <c r="D959" s="143" t="s">
        <v>1375</v>
      </c>
      <c r="E959" s="394"/>
      <c r="F959" s="394"/>
      <c r="G959" s="394"/>
      <c r="H959" s="394"/>
      <c r="I959" s="394"/>
      <c r="J959" s="394"/>
    </row>
    <row r="960" spans="1:11" s="157" customFormat="1" ht="15.95" customHeight="1" outlineLevel="1">
      <c r="A960" s="63" t="s">
        <v>1313</v>
      </c>
      <c r="B960" s="5" t="s">
        <v>127</v>
      </c>
      <c r="C960" s="5" t="s">
        <v>7</v>
      </c>
      <c r="D960" s="129" t="s">
        <v>128</v>
      </c>
      <c r="E960" s="66" t="s">
        <v>218</v>
      </c>
      <c r="F960" s="64">
        <f>374.09*0.1</f>
        <v>37.408999999999999</v>
      </c>
      <c r="G960" s="249"/>
      <c r="H960" s="249">
        <f t="shared" ref="H960:H967" si="237">TRUNC((G960*(1+$I$12)),2)</f>
        <v>0</v>
      </c>
      <c r="I960" s="249">
        <f t="shared" ref="I960:I967" si="238">ROUND((F960*H960),2)</f>
        <v>0</v>
      </c>
      <c r="J960" s="248" t="e">
        <f t="shared" ref="J960:J967" si="239">(I960/$I$1421)</f>
        <v>#DIV/0!</v>
      </c>
    </row>
    <row r="961" spans="1:11" s="157" customFormat="1" ht="40.5" outlineLevel="1">
      <c r="A961" s="63" t="s">
        <v>1314</v>
      </c>
      <c r="B961" s="63">
        <v>100983</v>
      </c>
      <c r="C961" s="63" t="s">
        <v>18</v>
      </c>
      <c r="D961" s="65" t="s">
        <v>1896</v>
      </c>
      <c r="E961" s="66" t="s">
        <v>218</v>
      </c>
      <c r="F961" s="64">
        <f>F960*1.3</f>
        <v>48.631700000000002</v>
      </c>
      <c r="G961" s="350"/>
      <c r="H961" s="350">
        <f t="shared" si="237"/>
        <v>0</v>
      </c>
      <c r="I961" s="121">
        <f t="shared" si="238"/>
        <v>0</v>
      </c>
      <c r="J961" s="349" t="e">
        <f t="shared" si="239"/>
        <v>#DIV/0!</v>
      </c>
    </row>
    <row r="962" spans="1:11" s="157" customFormat="1" ht="27" outlineLevel="1">
      <c r="A962" s="63" t="s">
        <v>1315</v>
      </c>
      <c r="B962" s="63">
        <v>95875</v>
      </c>
      <c r="C962" s="63" t="s">
        <v>18</v>
      </c>
      <c r="D962" s="65" t="s">
        <v>1898</v>
      </c>
      <c r="E962" s="66" t="s">
        <v>1897</v>
      </c>
      <c r="F962" s="64">
        <f>F961*4</f>
        <v>194.52680000000001</v>
      </c>
      <c r="G962" s="350"/>
      <c r="H962" s="350">
        <f t="shared" si="237"/>
        <v>0</v>
      </c>
      <c r="I962" s="121">
        <f t="shared" si="238"/>
        <v>0</v>
      </c>
      <c r="J962" s="349" t="e">
        <f t="shared" si="239"/>
        <v>#DIV/0!</v>
      </c>
    </row>
    <row r="963" spans="1:11" s="157" customFormat="1" ht="27" outlineLevel="1">
      <c r="A963" s="63" t="s">
        <v>1318</v>
      </c>
      <c r="B963" s="63">
        <v>97084</v>
      </c>
      <c r="C963" s="63" t="s">
        <v>18</v>
      </c>
      <c r="D963" s="65" t="s">
        <v>791</v>
      </c>
      <c r="E963" s="68" t="s">
        <v>116</v>
      </c>
      <c r="F963" s="64">
        <v>374.09</v>
      </c>
      <c r="G963" s="249"/>
      <c r="H963" s="249">
        <f t="shared" si="237"/>
        <v>0</v>
      </c>
      <c r="I963" s="249">
        <f t="shared" si="238"/>
        <v>0</v>
      </c>
      <c r="J963" s="248" t="e">
        <f t="shared" si="239"/>
        <v>#DIV/0!</v>
      </c>
    </row>
    <row r="964" spans="1:11" s="100" customFormat="1" ht="27" outlineLevel="1">
      <c r="A964" s="63" t="s">
        <v>1376</v>
      </c>
      <c r="B964" s="128">
        <v>96622</v>
      </c>
      <c r="C964" s="128" t="s">
        <v>18</v>
      </c>
      <c r="D964" s="82" t="s">
        <v>1895</v>
      </c>
      <c r="E964" s="88" t="s">
        <v>218</v>
      </c>
      <c r="F964" s="75">
        <f>F963*0.05</f>
        <v>18.704499999999999</v>
      </c>
      <c r="G964" s="145"/>
      <c r="H964" s="84">
        <f t="shared" si="237"/>
        <v>0</v>
      </c>
      <c r="I964" s="249">
        <f t="shared" si="238"/>
        <v>0</v>
      </c>
      <c r="J964" s="248" t="e">
        <f t="shared" si="239"/>
        <v>#DIV/0!</v>
      </c>
    </row>
    <row r="965" spans="1:11" s="100" customFormat="1" ht="27" outlineLevel="1">
      <c r="A965" s="63" t="s">
        <v>1377</v>
      </c>
      <c r="B965" s="63">
        <v>94993</v>
      </c>
      <c r="C965" s="63" t="s">
        <v>18</v>
      </c>
      <c r="D965" s="65" t="s">
        <v>790</v>
      </c>
      <c r="E965" s="68" t="s">
        <v>116</v>
      </c>
      <c r="F965" s="64">
        <v>374.09</v>
      </c>
      <c r="G965" s="252"/>
      <c r="H965" s="249">
        <f t="shared" si="237"/>
        <v>0</v>
      </c>
      <c r="I965" s="249">
        <f t="shared" si="238"/>
        <v>0</v>
      </c>
      <c r="J965" s="248" t="e">
        <f t="shared" si="239"/>
        <v>#DIV/0!</v>
      </c>
    </row>
    <row r="966" spans="1:11" s="157" customFormat="1" ht="15.95" customHeight="1" outlineLevel="1">
      <c r="A966" s="63" t="s">
        <v>1378</v>
      </c>
      <c r="B966" s="5" t="s">
        <v>129</v>
      </c>
      <c r="C966" s="5" t="s">
        <v>7</v>
      </c>
      <c r="D966" s="106" t="s">
        <v>130</v>
      </c>
      <c r="E966" s="68" t="s">
        <v>116</v>
      </c>
      <c r="F966" s="64">
        <v>374.09</v>
      </c>
      <c r="G966" s="252"/>
      <c r="H966" s="249">
        <f t="shared" si="237"/>
        <v>0</v>
      </c>
      <c r="I966" s="249">
        <f t="shared" si="238"/>
        <v>0</v>
      </c>
      <c r="J966" s="248" t="e">
        <f t="shared" si="239"/>
        <v>#DIV/0!</v>
      </c>
    </row>
    <row r="967" spans="1:11" s="157" customFormat="1" ht="27" outlineLevel="1">
      <c r="A967" s="63" t="s">
        <v>1942</v>
      </c>
      <c r="B967" s="5">
        <v>102491</v>
      </c>
      <c r="C967" s="5" t="s">
        <v>18</v>
      </c>
      <c r="D967" s="106" t="s">
        <v>788</v>
      </c>
      <c r="E967" s="68" t="s">
        <v>116</v>
      </c>
      <c r="F967" s="64">
        <v>374.09</v>
      </c>
      <c r="G967" s="249"/>
      <c r="H967" s="249">
        <f t="shared" si="237"/>
        <v>0</v>
      </c>
      <c r="I967" s="249">
        <f t="shared" si="238"/>
        <v>0</v>
      </c>
      <c r="J967" s="248" t="e">
        <f t="shared" si="239"/>
        <v>#DIV/0!</v>
      </c>
    </row>
    <row r="968" spans="1:11" s="157" customFormat="1">
      <c r="A968" s="378" t="s">
        <v>1379</v>
      </c>
      <c r="B968" s="378"/>
      <c r="C968" s="378"/>
      <c r="D968" s="378"/>
      <c r="E968" s="378"/>
      <c r="F968" s="378"/>
      <c r="G968" s="378"/>
      <c r="H968" s="378"/>
      <c r="I968" s="177">
        <f>SUM(I960:I967)</f>
        <v>0</v>
      </c>
      <c r="J968" s="144" t="e">
        <f>SUM(J960:J967)</f>
        <v>#DIV/0!</v>
      </c>
      <c r="K968" s="318" t="e">
        <f>I968/$I$1052</f>
        <v>#DIV/0!</v>
      </c>
    </row>
    <row r="969" spans="1:11" ht="15.95" customHeight="1">
      <c r="A969" s="61" t="s">
        <v>1380</v>
      </c>
      <c r="B969" s="421"/>
      <c r="C969" s="421"/>
      <c r="D969" s="143" t="s">
        <v>1963</v>
      </c>
      <c r="E969" s="384"/>
      <c r="F969" s="385"/>
      <c r="G969" s="385"/>
      <c r="H969" s="385"/>
      <c r="I969" s="385"/>
      <c r="J969" s="386"/>
    </row>
    <row r="970" spans="1:11" ht="15.95" customHeight="1">
      <c r="A970" s="61" t="s">
        <v>1381</v>
      </c>
      <c r="B970" s="148"/>
      <c r="C970" s="148"/>
      <c r="D970" s="143" t="s">
        <v>1989</v>
      </c>
      <c r="E970" s="355"/>
      <c r="F970" s="356"/>
      <c r="G970" s="356"/>
      <c r="H970" s="356"/>
      <c r="I970" s="356"/>
      <c r="J970" s="357"/>
    </row>
    <row r="971" spans="1:11" s="157" customFormat="1" ht="15.95" customHeight="1" outlineLevel="1">
      <c r="A971" s="63" t="s">
        <v>1965</v>
      </c>
      <c r="B971" s="5" t="s">
        <v>1802</v>
      </c>
      <c r="C971" s="101" t="s">
        <v>7</v>
      </c>
      <c r="D971" s="106" t="s">
        <v>1801</v>
      </c>
      <c r="E971" s="66" t="s">
        <v>115</v>
      </c>
      <c r="F971" s="64">
        <v>144.44999999999999</v>
      </c>
      <c r="G971" s="249"/>
      <c r="H971" s="249">
        <f>TRUNC((G971*(1+$I$12)),2)</f>
        <v>0</v>
      </c>
      <c r="I971" s="249">
        <f t="shared" ref="I971:I977" si="240">ROUND((F971*H971),2)</f>
        <v>0</v>
      </c>
      <c r="J971" s="248" t="e">
        <f t="shared" ref="J971:J977" si="241">(I971/$I$1421)</f>
        <v>#DIV/0!</v>
      </c>
    </row>
    <row r="972" spans="1:11" s="157" customFormat="1" ht="15.95" customHeight="1" outlineLevel="1">
      <c r="A972" s="63" t="s">
        <v>1966</v>
      </c>
      <c r="B972" s="5" t="s">
        <v>168</v>
      </c>
      <c r="C972" s="5" t="s">
        <v>7</v>
      </c>
      <c r="D972" s="106" t="s">
        <v>169</v>
      </c>
      <c r="E972" s="66" t="s">
        <v>218</v>
      </c>
      <c r="F972" s="64">
        <v>9.26</v>
      </c>
      <c r="G972" s="249"/>
      <c r="H972" s="249">
        <f>TRUNC((G972*(1+$I$12)),2)</f>
        <v>0</v>
      </c>
      <c r="I972" s="249">
        <f t="shared" si="240"/>
        <v>0</v>
      </c>
      <c r="J972" s="248" t="e">
        <f t="shared" si="241"/>
        <v>#DIV/0!</v>
      </c>
    </row>
    <row r="973" spans="1:11" s="157" customFormat="1" ht="15.95" customHeight="1" outlineLevel="1">
      <c r="A973" s="63" t="s">
        <v>1967</v>
      </c>
      <c r="B973" s="5" t="s">
        <v>127</v>
      </c>
      <c r="C973" s="5" t="s">
        <v>7</v>
      </c>
      <c r="D973" s="129" t="s">
        <v>128</v>
      </c>
      <c r="E973" s="66" t="s">
        <v>218</v>
      </c>
      <c r="F973" s="64">
        <v>1.23</v>
      </c>
      <c r="G973" s="249"/>
      <c r="H973" s="249">
        <f>TRUNC((G973*(1+$I$12)),2)</f>
        <v>0</v>
      </c>
      <c r="I973" s="249">
        <f t="shared" si="240"/>
        <v>0</v>
      </c>
      <c r="J973" s="248" t="e">
        <f t="shared" si="241"/>
        <v>#DIV/0!</v>
      </c>
    </row>
    <row r="974" spans="1:11" s="157" customFormat="1" ht="30" customHeight="1" outlineLevel="1">
      <c r="A974" s="63" t="s">
        <v>1968</v>
      </c>
      <c r="B974" s="63">
        <v>100983</v>
      </c>
      <c r="C974" s="63" t="s">
        <v>18</v>
      </c>
      <c r="D974" s="65" t="s">
        <v>1896</v>
      </c>
      <c r="E974" s="66" t="s">
        <v>218</v>
      </c>
      <c r="F974" s="64">
        <v>14.12</v>
      </c>
      <c r="G974" s="350"/>
      <c r="H974" s="350">
        <f t="shared" ref="H974:H976" si="242">TRUNC((G974*(1+$I$12)),2)</f>
        <v>0</v>
      </c>
      <c r="I974" s="121">
        <f t="shared" si="240"/>
        <v>0</v>
      </c>
      <c r="J974" s="349" t="e">
        <f t="shared" si="241"/>
        <v>#DIV/0!</v>
      </c>
    </row>
    <row r="975" spans="1:11" s="157" customFormat="1" ht="27" outlineLevel="1">
      <c r="A975" s="63" t="s">
        <v>1969</v>
      </c>
      <c r="B975" s="63">
        <v>95875</v>
      </c>
      <c r="C975" s="63" t="s">
        <v>18</v>
      </c>
      <c r="D975" s="65" t="s">
        <v>1898</v>
      </c>
      <c r="E975" s="66" t="s">
        <v>1897</v>
      </c>
      <c r="F975" s="64">
        <f>F974*4</f>
        <v>56.48</v>
      </c>
      <c r="G975" s="350"/>
      <c r="H975" s="350">
        <f t="shared" si="242"/>
        <v>0</v>
      </c>
      <c r="I975" s="121">
        <f t="shared" si="240"/>
        <v>0</v>
      </c>
      <c r="J975" s="349" t="e">
        <f t="shared" si="241"/>
        <v>#DIV/0!</v>
      </c>
    </row>
    <row r="976" spans="1:11" s="157" customFormat="1" ht="27" outlineLevel="1">
      <c r="A976" s="63" t="s">
        <v>1970</v>
      </c>
      <c r="B976" s="101" t="s">
        <v>10</v>
      </c>
      <c r="C976" s="101" t="str">
        <f>[1]Composições!$I$168</f>
        <v>COMP15</v>
      </c>
      <c r="D976" s="102" t="str">
        <f>[1]Composições!$B$168</f>
        <v>EXECUÇÃO DE CANALETA DE ESCOAMENTO DE ÁGUAS PLUVIAIS, COM PAREDES EM BLOCOS DE CONCRETO GRAUTEADOS, INCLUSO MASSA ÚNICA E CONCRETAGEM DE FUNDO</v>
      </c>
      <c r="E976" s="66" t="s">
        <v>115</v>
      </c>
      <c r="F976" s="64">
        <v>144.44999999999999</v>
      </c>
      <c r="G976" s="350"/>
      <c r="H976" s="350">
        <f t="shared" si="242"/>
        <v>0</v>
      </c>
      <c r="I976" s="117">
        <f t="shared" si="240"/>
        <v>0</v>
      </c>
      <c r="J976" s="231" t="e">
        <f t="shared" si="241"/>
        <v>#DIV/0!</v>
      </c>
    </row>
    <row r="977" spans="1:11" s="157" customFormat="1" ht="15.95" customHeight="1" outlineLevel="1">
      <c r="A977" s="63" t="s">
        <v>1971</v>
      </c>
      <c r="B977" s="63" t="s">
        <v>1858</v>
      </c>
      <c r="C977" s="63" t="s">
        <v>9</v>
      </c>
      <c r="D977" s="65" t="s">
        <v>1857</v>
      </c>
      <c r="E977" s="86" t="s">
        <v>115</v>
      </c>
      <c r="F977" s="80">
        <v>144.44999999999999</v>
      </c>
      <c r="G977" s="124" t="s">
        <v>10</v>
      </c>
      <c r="H977" s="124"/>
      <c r="I977" s="124">
        <f t="shared" si="240"/>
        <v>0</v>
      </c>
      <c r="J977" s="81" t="e">
        <f t="shared" si="241"/>
        <v>#DIV/0!</v>
      </c>
    </row>
    <row r="978" spans="1:11" s="157" customFormat="1" ht="15.95" customHeight="1" outlineLevel="1">
      <c r="A978" s="378" t="s">
        <v>1964</v>
      </c>
      <c r="B978" s="378"/>
      <c r="C978" s="378"/>
      <c r="D978" s="378"/>
      <c r="E978" s="378"/>
      <c r="F978" s="378"/>
      <c r="G978" s="378"/>
      <c r="H978" s="378"/>
      <c r="I978" s="177">
        <f>SUM(I971:I977)</f>
        <v>0</v>
      </c>
      <c r="J978" s="144" t="e">
        <f>SUM(J971:J977)</f>
        <v>#DIV/0!</v>
      </c>
    </row>
    <row r="979" spans="1:11" ht="15.95" customHeight="1">
      <c r="A979" s="61" t="s">
        <v>1382</v>
      </c>
      <c r="B979" s="148"/>
      <c r="C979" s="148"/>
      <c r="D979" s="143" t="s">
        <v>1977</v>
      </c>
      <c r="E979" s="355"/>
      <c r="F979" s="356"/>
      <c r="G979" s="356"/>
      <c r="H979" s="356"/>
      <c r="I979" s="356"/>
      <c r="J979" s="357"/>
    </row>
    <row r="980" spans="1:11" s="157" customFormat="1" ht="27" outlineLevel="1">
      <c r="A980" s="63" t="s">
        <v>1972</v>
      </c>
      <c r="B980" s="5">
        <v>89470</v>
      </c>
      <c r="C980" s="101" t="s">
        <v>18</v>
      </c>
      <c r="D980" s="106" t="s">
        <v>1978</v>
      </c>
      <c r="E980" s="66" t="s">
        <v>116</v>
      </c>
      <c r="F980" s="64">
        <v>12.85</v>
      </c>
      <c r="G980" s="359"/>
      <c r="H980" s="359">
        <f>TRUNC((G980*(1+$I$12)),2)</f>
        <v>0</v>
      </c>
      <c r="I980" s="359">
        <f t="shared" ref="I980:I984" si="243">ROUND((F980*H980),2)</f>
        <v>0</v>
      </c>
      <c r="J980" s="358" t="e">
        <f>(I980/$I$1421)</f>
        <v>#DIV/0!</v>
      </c>
    </row>
    <row r="981" spans="1:11" s="157" customFormat="1" ht="27" outlineLevel="1">
      <c r="A981" s="63" t="s">
        <v>1973</v>
      </c>
      <c r="B981" s="5">
        <v>90278</v>
      </c>
      <c r="C981" s="101" t="s">
        <v>18</v>
      </c>
      <c r="D981" s="106" t="s">
        <v>1988</v>
      </c>
      <c r="E981" s="66" t="s">
        <v>218</v>
      </c>
      <c r="F981" s="64">
        <f>F980*0.14</f>
        <v>1.7990000000000002</v>
      </c>
      <c r="G981" s="359"/>
      <c r="H981" s="359">
        <f>TRUNC((G981*(1+$I$12)),2)</f>
        <v>0</v>
      </c>
      <c r="I981" s="359">
        <f t="shared" si="243"/>
        <v>0</v>
      </c>
      <c r="J981" s="358" t="e">
        <f>(I981/$I$1421)</f>
        <v>#DIV/0!</v>
      </c>
    </row>
    <row r="982" spans="1:11" s="157" customFormat="1" ht="40.5" outlineLevel="1">
      <c r="A982" s="63" t="s">
        <v>1974</v>
      </c>
      <c r="B982" s="5">
        <v>87529</v>
      </c>
      <c r="C982" s="5" t="s">
        <v>18</v>
      </c>
      <c r="D982" s="106" t="s">
        <v>35</v>
      </c>
      <c r="E982" s="66" t="s">
        <v>116</v>
      </c>
      <c r="F982" s="64">
        <f>F980*2</f>
        <v>25.7</v>
      </c>
      <c r="G982" s="359"/>
      <c r="H982" s="359">
        <f>TRUNC((G982*(1+$I$12)),2)</f>
        <v>0</v>
      </c>
      <c r="I982" s="359">
        <f t="shared" si="243"/>
        <v>0</v>
      </c>
      <c r="J982" s="358" t="e">
        <f>(I982/$I$1421)</f>
        <v>#DIV/0!</v>
      </c>
    </row>
    <row r="983" spans="1:11" s="100" customFormat="1" ht="27" outlineLevel="1">
      <c r="A983" s="63" t="s">
        <v>1975</v>
      </c>
      <c r="B983" s="63">
        <v>88489</v>
      </c>
      <c r="C983" s="63" t="s">
        <v>18</v>
      </c>
      <c r="D983" s="65" t="s">
        <v>1979</v>
      </c>
      <c r="E983" s="66" t="s">
        <v>116</v>
      </c>
      <c r="F983" s="64">
        <f>F982</f>
        <v>25.7</v>
      </c>
      <c r="G983" s="137"/>
      <c r="H983" s="117">
        <f t="shared" ref="H983" si="244">TRUNC((G983*(1+$I$12)),2)</f>
        <v>0</v>
      </c>
      <c r="I983" s="359">
        <f t="shared" si="243"/>
        <v>0</v>
      </c>
      <c r="J983" s="246" t="e">
        <f>(I983/$I$1421)</f>
        <v>#DIV/0!</v>
      </c>
    </row>
    <row r="984" spans="1:11" s="100" customFormat="1" ht="27" outlineLevel="1">
      <c r="A984" s="63" t="s">
        <v>1976</v>
      </c>
      <c r="B984" s="63">
        <v>88489</v>
      </c>
      <c r="C984" s="63" t="s">
        <v>18</v>
      </c>
      <c r="D984" s="65" t="s">
        <v>1980</v>
      </c>
      <c r="E984" s="66" t="s">
        <v>116</v>
      </c>
      <c r="F984" s="64">
        <v>13.86</v>
      </c>
      <c r="G984" s="137"/>
      <c r="H984" s="117">
        <f t="shared" ref="H984" si="245">TRUNC((G984*(1+$I$12)),2)</f>
        <v>0</v>
      </c>
      <c r="I984" s="359">
        <f t="shared" si="243"/>
        <v>0</v>
      </c>
      <c r="J984" s="246" t="e">
        <f>(I984/$I$1421)</f>
        <v>#DIV/0!</v>
      </c>
    </row>
    <row r="985" spans="1:11" s="157" customFormat="1" ht="15.95" customHeight="1" outlineLevel="1">
      <c r="A985" s="378" t="s">
        <v>1981</v>
      </c>
      <c r="B985" s="378"/>
      <c r="C985" s="378"/>
      <c r="D985" s="378"/>
      <c r="E985" s="378"/>
      <c r="F985" s="378"/>
      <c r="G985" s="378"/>
      <c r="H985" s="378"/>
      <c r="I985" s="177">
        <f>SUM(I980:I984)</f>
        <v>0</v>
      </c>
      <c r="J985" s="144" t="e">
        <f>SUM(J980:J984)</f>
        <v>#DIV/0!</v>
      </c>
    </row>
    <row r="986" spans="1:11" ht="15.95" customHeight="1">
      <c r="A986" s="61" t="s">
        <v>1383</v>
      </c>
      <c r="B986" s="148"/>
      <c r="C986" s="148"/>
      <c r="D986" s="369" t="s">
        <v>1987</v>
      </c>
      <c r="E986" s="370"/>
      <c r="F986" s="356"/>
      <c r="G986" s="356"/>
      <c r="H986" s="356"/>
      <c r="I986" s="356"/>
      <c r="J986" s="357"/>
    </row>
    <row r="987" spans="1:11" s="157" customFormat="1" ht="27" outlineLevel="1">
      <c r="A987" s="63" t="s">
        <v>1982</v>
      </c>
      <c r="B987" s="63">
        <v>102995</v>
      </c>
      <c r="C987" s="63" t="s">
        <v>18</v>
      </c>
      <c r="D987" s="65" t="s">
        <v>1986</v>
      </c>
      <c r="E987" s="66" t="s">
        <v>115</v>
      </c>
      <c r="F987" s="64">
        <v>30</v>
      </c>
      <c r="G987" s="359"/>
      <c r="H987" s="359">
        <f>TRUNC((G987*(1+$I$12)),2)</f>
        <v>0</v>
      </c>
      <c r="I987" s="359">
        <f t="shared" ref="I987:I989" si="246">ROUND((F987*H987),2)</f>
        <v>0</v>
      </c>
      <c r="J987" s="358" t="e">
        <f>(I987/$I$1421)</f>
        <v>#DIV/0!</v>
      </c>
    </row>
    <row r="988" spans="1:11" s="157" customFormat="1" ht="27" outlineLevel="1">
      <c r="A988" s="63" t="s">
        <v>1983</v>
      </c>
      <c r="B988" s="63">
        <v>99260</v>
      </c>
      <c r="C988" s="63" t="s">
        <v>18</v>
      </c>
      <c r="D988" s="65" t="s">
        <v>1990</v>
      </c>
      <c r="E988" s="66" t="s">
        <v>221</v>
      </c>
      <c r="F988" s="64">
        <v>2</v>
      </c>
      <c r="G988" s="359"/>
      <c r="H988" s="359">
        <f>TRUNC((G988*(1+$I$12)),2)</f>
        <v>0</v>
      </c>
      <c r="I988" s="359">
        <f t="shared" si="246"/>
        <v>0</v>
      </c>
      <c r="J988" s="358" t="e">
        <f>(I988/$I$1421)</f>
        <v>#DIV/0!</v>
      </c>
    </row>
    <row r="989" spans="1:11" s="157" customFormat="1" ht="40.5" outlineLevel="1">
      <c r="A989" s="63" t="s">
        <v>1984</v>
      </c>
      <c r="B989" s="63">
        <v>92210</v>
      </c>
      <c r="C989" s="63" t="s">
        <v>18</v>
      </c>
      <c r="D989" s="65" t="s">
        <v>1991</v>
      </c>
      <c r="E989" s="66" t="s">
        <v>115</v>
      </c>
      <c r="F989" s="64">
        <v>10</v>
      </c>
      <c r="G989" s="359"/>
      <c r="H989" s="359">
        <f>TRUNC((G989*(1+$I$12)),2)</f>
        <v>0</v>
      </c>
      <c r="I989" s="359">
        <f t="shared" si="246"/>
        <v>0</v>
      </c>
      <c r="J989" s="358" t="e">
        <f>(I989/$I$1421)</f>
        <v>#DIV/0!</v>
      </c>
    </row>
    <row r="990" spans="1:11" s="157" customFormat="1" ht="15.95" customHeight="1" outlineLevel="1">
      <c r="A990" s="378" t="s">
        <v>1985</v>
      </c>
      <c r="B990" s="378"/>
      <c r="C990" s="378"/>
      <c r="D990" s="378"/>
      <c r="E990" s="378"/>
      <c r="F990" s="378"/>
      <c r="G990" s="378"/>
      <c r="H990" s="378"/>
      <c r="I990" s="177">
        <f>SUM(I987:I989)</f>
        <v>0</v>
      </c>
      <c r="J990" s="144" t="e">
        <f>SUM(J987:J989)</f>
        <v>#DIV/0!</v>
      </c>
    </row>
    <row r="991" spans="1:11" s="100" customFormat="1">
      <c r="A991" s="378" t="s">
        <v>1384</v>
      </c>
      <c r="B991" s="378"/>
      <c r="C991" s="378"/>
      <c r="D991" s="378"/>
      <c r="E991" s="378"/>
      <c r="F991" s="378"/>
      <c r="G991" s="378"/>
      <c r="H991" s="378"/>
      <c r="I991" s="177">
        <f>I978+I985+I990</f>
        <v>0</v>
      </c>
      <c r="J991" s="144" t="e">
        <f>J978+J985+J990</f>
        <v>#DIV/0!</v>
      </c>
      <c r="K991" s="318" t="e">
        <f>I991/$I$1052</f>
        <v>#DIV/0!</v>
      </c>
    </row>
    <row r="992" spans="1:11" ht="15.95" customHeight="1">
      <c r="A992" s="61" t="s">
        <v>1385</v>
      </c>
      <c r="B992" s="148"/>
      <c r="C992" s="148"/>
      <c r="D992" s="143" t="s">
        <v>1430</v>
      </c>
      <c r="E992" s="384"/>
      <c r="F992" s="385"/>
      <c r="G992" s="385"/>
      <c r="H992" s="385"/>
      <c r="I992" s="385"/>
      <c r="J992" s="386"/>
    </row>
    <row r="993" spans="1:11" s="157" customFormat="1" ht="27" outlineLevel="1">
      <c r="A993" s="103" t="s">
        <v>1386</v>
      </c>
      <c r="B993" s="101">
        <v>97627</v>
      </c>
      <c r="C993" s="101" t="s">
        <v>18</v>
      </c>
      <c r="D993" s="102" t="s">
        <v>797</v>
      </c>
      <c r="E993" s="86" t="s">
        <v>218</v>
      </c>
      <c r="F993" s="80">
        <v>5.71</v>
      </c>
      <c r="G993" s="124"/>
      <c r="H993" s="124">
        <f>TRUNC((G993*(1+$I$12)),2)</f>
        <v>0</v>
      </c>
      <c r="I993" s="124">
        <f>ROUND((F993*H993),2)</f>
        <v>0</v>
      </c>
      <c r="J993" s="247" t="e">
        <f t="shared" ref="J993:J1008" si="247">(I993/$I$1421)</f>
        <v>#DIV/0!</v>
      </c>
    </row>
    <row r="994" spans="1:11" s="157" customFormat="1" ht="27" outlineLevel="1">
      <c r="A994" s="103" t="s">
        <v>1387</v>
      </c>
      <c r="B994" s="63" t="s">
        <v>861</v>
      </c>
      <c r="C994" s="63" t="s">
        <v>7</v>
      </c>
      <c r="D994" s="65" t="s">
        <v>862</v>
      </c>
      <c r="E994" s="66" t="s">
        <v>218</v>
      </c>
      <c r="F994" s="64">
        <f>(F993)*1.3</f>
        <v>7.423</v>
      </c>
      <c r="G994" s="249"/>
      <c r="H994" s="249">
        <f>TRUNC((G994*(1+$I$12)),2)</f>
        <v>0</v>
      </c>
      <c r="I994" s="124">
        <f t="shared" ref="I994:I1008" si="248">ROUND((F994*H994),2)</f>
        <v>0</v>
      </c>
      <c r="J994" s="247" t="e">
        <f t="shared" si="247"/>
        <v>#DIV/0!</v>
      </c>
    </row>
    <row r="995" spans="1:11" s="157" customFormat="1" ht="27" outlineLevel="1">
      <c r="A995" s="103" t="s">
        <v>1388</v>
      </c>
      <c r="B995" s="63" t="s">
        <v>10</v>
      </c>
      <c r="C995" s="63" t="str">
        <f>[1]Composições!$I$136</f>
        <v>COMP11</v>
      </c>
      <c r="D995" s="65" t="str">
        <f>[1]Composições!$B$136</f>
        <v>ESTACA BROCA DE CONCRETO, DIÂMETRO DE 25CM, ESCAVAÇÃO MANUAL COM TRADO CONCHA, INTEIRAMENTE ARMADA, INCLUSO CONCRETAGEM FCK 25 MPA. AF_05/2020</v>
      </c>
      <c r="E995" s="66" t="s">
        <v>115</v>
      </c>
      <c r="F995" s="64">
        <v>240</v>
      </c>
      <c r="G995" s="319"/>
      <c r="H995" s="319">
        <f t="shared" ref="H995:H1008" si="249">TRUNC((G995*(1+$I$12)),2)</f>
        <v>0</v>
      </c>
      <c r="I995" s="124">
        <f t="shared" si="248"/>
        <v>0</v>
      </c>
      <c r="J995" s="247" t="e">
        <f t="shared" si="247"/>
        <v>#DIV/0!</v>
      </c>
    </row>
    <row r="996" spans="1:11" s="157" customFormat="1" ht="27" outlineLevel="1">
      <c r="A996" s="103" t="s">
        <v>1389</v>
      </c>
      <c r="B996" s="63">
        <v>96522</v>
      </c>
      <c r="C996" s="63" t="s">
        <v>18</v>
      </c>
      <c r="D996" s="65" t="s">
        <v>856</v>
      </c>
      <c r="E996" s="66" t="s">
        <v>218</v>
      </c>
      <c r="F996" s="64">
        <v>9.3000000000000007</v>
      </c>
      <c r="G996" s="249"/>
      <c r="H996" s="249">
        <f t="shared" si="249"/>
        <v>0</v>
      </c>
      <c r="I996" s="124">
        <f t="shared" si="248"/>
        <v>0</v>
      </c>
      <c r="J996" s="247" t="e">
        <f t="shared" si="247"/>
        <v>#DIV/0!</v>
      </c>
    </row>
    <row r="997" spans="1:11" s="157" customFormat="1" ht="27" outlineLevel="1">
      <c r="A997" s="103" t="s">
        <v>1390</v>
      </c>
      <c r="B997" s="63">
        <v>96545</v>
      </c>
      <c r="C997" s="63" t="s">
        <v>18</v>
      </c>
      <c r="D997" s="65" t="s">
        <v>267</v>
      </c>
      <c r="E997" s="66" t="s">
        <v>117</v>
      </c>
      <c r="F997" s="64">
        <v>648.02</v>
      </c>
      <c r="G997" s="249"/>
      <c r="H997" s="249">
        <f t="shared" si="249"/>
        <v>0</v>
      </c>
      <c r="I997" s="124">
        <f t="shared" si="248"/>
        <v>0</v>
      </c>
      <c r="J997" s="247" t="e">
        <f t="shared" si="247"/>
        <v>#DIV/0!</v>
      </c>
    </row>
    <row r="998" spans="1:11" s="157" customFormat="1" ht="27" outlineLevel="1">
      <c r="A998" s="103" t="s">
        <v>1391</v>
      </c>
      <c r="B998" s="63" t="s">
        <v>10</v>
      </c>
      <c r="C998" s="63" t="str">
        <f>[1]Composições!$I$146</f>
        <v>COMP12</v>
      </c>
      <c r="D998" s="65" t="str">
        <f>[1]Composições!$B$146</f>
        <v>CONCRETAGEM DE BLOCOS DE COROAMENTO E VIGAS BALDRAME, FCK 25 MPA, INCLUSO LANÇAMENTO, ADENSAMENTO E ACABAMENTO. AF_06/2017</v>
      </c>
      <c r="E998" s="66" t="s">
        <v>218</v>
      </c>
      <c r="F998" s="64">
        <v>9.3000000000000007</v>
      </c>
      <c r="G998" s="319"/>
      <c r="H998" s="319">
        <f t="shared" si="249"/>
        <v>0</v>
      </c>
      <c r="I998" s="124">
        <f t="shared" si="248"/>
        <v>0</v>
      </c>
      <c r="J998" s="247" t="e">
        <f t="shared" si="247"/>
        <v>#DIV/0!</v>
      </c>
      <c r="K998" s="157">
        <f>((122.22*0.3*2)+(122.22*0.15))/4</f>
        <v>22.916249999999998</v>
      </c>
    </row>
    <row r="999" spans="1:11" s="157" customFormat="1" ht="27" outlineLevel="1">
      <c r="A999" s="103" t="s">
        <v>1392</v>
      </c>
      <c r="B999" s="63">
        <v>92759</v>
      </c>
      <c r="C999" s="63" t="s">
        <v>18</v>
      </c>
      <c r="D999" s="65" t="s">
        <v>1316</v>
      </c>
      <c r="E999" s="66" t="s">
        <v>117</v>
      </c>
      <c r="F999" s="64">
        <v>59.85</v>
      </c>
      <c r="G999" s="249"/>
      <c r="H999" s="249">
        <f t="shared" ref="H999:H1000" si="250">TRUNC((G999*(1+$I$12)),2)</f>
        <v>0</v>
      </c>
      <c r="I999" s="124">
        <f t="shared" si="248"/>
        <v>0</v>
      </c>
      <c r="J999" s="247" t="e">
        <f t="shared" si="247"/>
        <v>#DIV/0!</v>
      </c>
      <c r="K999" s="154">
        <f>(2*3.15)+(2*3.42)</f>
        <v>13.14</v>
      </c>
    </row>
    <row r="1000" spans="1:11" s="157" customFormat="1" ht="27" outlineLevel="1">
      <c r="A1000" s="103" t="s">
        <v>1393</v>
      </c>
      <c r="B1000" s="63">
        <v>92762</v>
      </c>
      <c r="C1000" s="63" t="s">
        <v>18</v>
      </c>
      <c r="D1000" s="65" t="s">
        <v>1317</v>
      </c>
      <c r="E1000" s="66" t="s">
        <v>117</v>
      </c>
      <c r="F1000" s="64">
        <v>197.65</v>
      </c>
      <c r="G1000" s="249"/>
      <c r="H1000" s="249">
        <f t="shared" si="250"/>
        <v>0</v>
      </c>
      <c r="I1000" s="124">
        <f t="shared" si="248"/>
        <v>0</v>
      </c>
      <c r="J1000" s="247" t="e">
        <f t="shared" si="247"/>
        <v>#DIV/0!</v>
      </c>
      <c r="K1000" s="157">
        <f>(2*10.73)+(2*11.98)+(2*10.88)+(2*12)+(2*7.38)+(2*5.85)</f>
        <v>117.64000000000001</v>
      </c>
    </row>
    <row r="1001" spans="1:11" s="157" customFormat="1" ht="27" outlineLevel="1">
      <c r="A1001" s="103" t="s">
        <v>1820</v>
      </c>
      <c r="B1001" s="63">
        <v>92759</v>
      </c>
      <c r="C1001" s="63" t="s">
        <v>18</v>
      </c>
      <c r="D1001" s="65" t="s">
        <v>860</v>
      </c>
      <c r="E1001" s="66" t="s">
        <v>117</v>
      </c>
      <c r="F1001" s="64">
        <v>209.46</v>
      </c>
      <c r="G1001" s="249"/>
      <c r="H1001" s="249">
        <f t="shared" si="249"/>
        <v>0</v>
      </c>
      <c r="I1001" s="124">
        <f t="shared" si="248"/>
        <v>0</v>
      </c>
      <c r="J1001" s="247" t="e">
        <f t="shared" si="247"/>
        <v>#DIV/0!</v>
      </c>
      <c r="K1001" s="154">
        <f>(2*7.56)+(2*7.29)</f>
        <v>29.7</v>
      </c>
    </row>
    <row r="1002" spans="1:11" s="157" customFormat="1" ht="27" outlineLevel="1">
      <c r="A1002" s="103" t="s">
        <v>1821</v>
      </c>
      <c r="B1002" s="63">
        <v>92762</v>
      </c>
      <c r="C1002" s="63" t="s">
        <v>18</v>
      </c>
      <c r="D1002" s="65" t="s">
        <v>857</v>
      </c>
      <c r="E1002" s="66" t="s">
        <v>117</v>
      </c>
      <c r="F1002" s="64">
        <v>721.06</v>
      </c>
      <c r="G1002" s="249"/>
      <c r="H1002" s="249">
        <f t="shared" si="249"/>
        <v>0</v>
      </c>
      <c r="I1002" s="124">
        <f t="shared" si="248"/>
        <v>0</v>
      </c>
      <c r="J1002" s="247" t="e">
        <f t="shared" si="247"/>
        <v>#DIV/0!</v>
      </c>
      <c r="K1002" s="157">
        <f>(2*10.73)+(2*11.98)+(2*10.88)+(2*12)+(2*7.38)+(2*5.85)</f>
        <v>117.64000000000001</v>
      </c>
    </row>
    <row r="1003" spans="1:11" s="157" customFormat="1" ht="27" outlineLevel="1">
      <c r="A1003" s="103" t="s">
        <v>1822</v>
      </c>
      <c r="B1003" s="63">
        <v>92419</v>
      </c>
      <c r="C1003" s="63" t="s">
        <v>18</v>
      </c>
      <c r="D1003" s="65" t="s">
        <v>858</v>
      </c>
      <c r="E1003" s="66" t="s">
        <v>116</v>
      </c>
      <c r="F1003" s="64">
        <v>26.23</v>
      </c>
      <c r="G1003" s="249"/>
      <c r="H1003" s="249">
        <f t="shared" si="249"/>
        <v>0</v>
      </c>
      <c r="I1003" s="124">
        <f t="shared" si="248"/>
        <v>0</v>
      </c>
      <c r="J1003" s="247" t="e">
        <f t="shared" si="247"/>
        <v>#DIV/0!</v>
      </c>
      <c r="K1003" s="157">
        <f>(2*7.56)+(2*7.29)</f>
        <v>29.7</v>
      </c>
    </row>
    <row r="1004" spans="1:11" s="157" customFormat="1" ht="27" outlineLevel="1">
      <c r="A1004" s="103" t="s">
        <v>1823</v>
      </c>
      <c r="B1004" s="63">
        <v>103669</v>
      </c>
      <c r="C1004" s="63" t="s">
        <v>18</v>
      </c>
      <c r="D1004" s="65" t="s">
        <v>859</v>
      </c>
      <c r="E1004" s="66" t="s">
        <v>218</v>
      </c>
      <c r="F1004" s="64">
        <v>7.87</v>
      </c>
      <c r="G1004" s="249"/>
      <c r="H1004" s="249">
        <f t="shared" si="249"/>
        <v>0</v>
      </c>
      <c r="I1004" s="124">
        <f t="shared" si="248"/>
        <v>0</v>
      </c>
      <c r="J1004" s="247" t="e">
        <f t="shared" si="247"/>
        <v>#DIV/0!</v>
      </c>
      <c r="K1004" s="157">
        <f>((3.32*0.15)+(3.32*0.35*2)*28)+((3.32*0.15)+(3.32*0.5*2)*12)</f>
        <v>105.908</v>
      </c>
    </row>
    <row r="1005" spans="1:11" s="157" customFormat="1" ht="27" outlineLevel="1">
      <c r="A1005" s="103" t="s">
        <v>1824</v>
      </c>
      <c r="B1005" s="63">
        <v>87879</v>
      </c>
      <c r="C1005" s="63" t="s">
        <v>18</v>
      </c>
      <c r="D1005" s="65" t="s">
        <v>275</v>
      </c>
      <c r="E1005" s="66" t="s">
        <v>116</v>
      </c>
      <c r="F1005" s="64">
        <v>105.91</v>
      </c>
      <c r="G1005" s="249"/>
      <c r="H1005" s="249">
        <f t="shared" si="249"/>
        <v>0</v>
      </c>
      <c r="I1005" s="124">
        <f t="shared" si="248"/>
        <v>0</v>
      </c>
      <c r="J1005" s="247" t="e">
        <f t="shared" si="247"/>
        <v>#DIV/0!</v>
      </c>
      <c r="K1005" s="157">
        <f>(((3.32*0.15*2)+(3.32*0.35*2)*28)+((3.32*0.15*2)+(3.32*0.5*0.15*2)*12)/4)</f>
        <v>67.810999999999993</v>
      </c>
    </row>
    <row r="1006" spans="1:11" s="157" customFormat="1" ht="40.5" outlineLevel="1">
      <c r="A1006" s="103" t="s">
        <v>1825</v>
      </c>
      <c r="B1006" s="63">
        <v>90406</v>
      </c>
      <c r="C1006" s="63" t="s">
        <v>18</v>
      </c>
      <c r="D1006" s="65" t="s">
        <v>276</v>
      </c>
      <c r="E1006" s="66" t="s">
        <v>116</v>
      </c>
      <c r="F1006" s="64">
        <f>F1005</f>
        <v>105.91</v>
      </c>
      <c r="G1006" s="249"/>
      <c r="H1006" s="249">
        <f t="shared" si="249"/>
        <v>0</v>
      </c>
      <c r="I1006" s="124">
        <f t="shared" si="248"/>
        <v>0</v>
      </c>
      <c r="J1006" s="247" t="e">
        <f t="shared" si="247"/>
        <v>#DIV/0!</v>
      </c>
      <c r="K1006" s="157">
        <f>(3.32*0.15*0.35*28)+(3.32*0.15*0.5*12)</f>
        <v>7.8683999999999994</v>
      </c>
    </row>
    <row r="1007" spans="1:11" s="157" customFormat="1" outlineLevel="1">
      <c r="A1007" s="103" t="s">
        <v>1826</v>
      </c>
      <c r="B1007" s="63">
        <v>88495</v>
      </c>
      <c r="C1007" s="63" t="s">
        <v>18</v>
      </c>
      <c r="D1007" s="65" t="s">
        <v>393</v>
      </c>
      <c r="E1007" s="66" t="s">
        <v>116</v>
      </c>
      <c r="F1007" s="64">
        <f>F1006</f>
        <v>105.91</v>
      </c>
      <c r="G1007" s="137"/>
      <c r="H1007" s="249">
        <f t="shared" si="249"/>
        <v>0</v>
      </c>
      <c r="I1007" s="124">
        <f t="shared" si="248"/>
        <v>0</v>
      </c>
      <c r="J1007" s="247" t="e">
        <f t="shared" si="247"/>
        <v>#DIV/0!</v>
      </c>
      <c r="K1007" s="157">
        <f>(29.7+88.08+117.64+13.14+29.7+88.08+117.64+13.14+29.7)</f>
        <v>526.81999999999994</v>
      </c>
    </row>
    <row r="1008" spans="1:11" s="157" customFormat="1" outlineLevel="1">
      <c r="A1008" s="103" t="s">
        <v>1827</v>
      </c>
      <c r="B1008" s="63">
        <v>88489</v>
      </c>
      <c r="C1008" s="63" t="s">
        <v>18</v>
      </c>
      <c r="D1008" s="65" t="s">
        <v>36</v>
      </c>
      <c r="E1008" s="66" t="s">
        <v>116</v>
      </c>
      <c r="F1008" s="64">
        <f>F1007</f>
        <v>105.91</v>
      </c>
      <c r="G1008" s="137"/>
      <c r="H1008" s="249">
        <f t="shared" si="249"/>
        <v>0</v>
      </c>
      <c r="I1008" s="124">
        <f t="shared" si="248"/>
        <v>0</v>
      </c>
      <c r="J1008" s="247" t="e">
        <f t="shared" si="247"/>
        <v>#DIV/0!</v>
      </c>
    </row>
    <row r="1009" spans="1:11" s="157" customFormat="1">
      <c r="A1009" s="378" t="s">
        <v>1958</v>
      </c>
      <c r="B1009" s="378"/>
      <c r="C1009" s="378"/>
      <c r="D1009" s="378"/>
      <c r="E1009" s="378"/>
      <c r="F1009" s="378"/>
      <c r="G1009" s="378"/>
      <c r="H1009" s="378"/>
      <c r="I1009" s="177">
        <f>SUM(I993:I1008)</f>
        <v>0</v>
      </c>
      <c r="J1009" s="144" t="e">
        <f>SUM(J993:J1008)</f>
        <v>#DIV/0!</v>
      </c>
      <c r="K1009" s="318" t="e">
        <f>I1009/$I$1052</f>
        <v>#DIV/0!</v>
      </c>
    </row>
    <row r="1010" spans="1:11" ht="15.95" customHeight="1">
      <c r="A1010" s="61" t="s">
        <v>1394</v>
      </c>
      <c r="B1010" s="148"/>
      <c r="C1010" s="148"/>
      <c r="D1010" s="143" t="s">
        <v>1431</v>
      </c>
      <c r="E1010" s="384"/>
      <c r="F1010" s="385"/>
      <c r="G1010" s="385"/>
      <c r="H1010" s="385"/>
      <c r="I1010" s="385"/>
      <c r="J1010" s="386"/>
    </row>
    <row r="1011" spans="1:11" s="157" customFormat="1" ht="27" outlineLevel="1">
      <c r="A1011" s="103" t="s">
        <v>1395</v>
      </c>
      <c r="B1011" s="63">
        <v>92759</v>
      </c>
      <c r="C1011" s="63" t="s">
        <v>18</v>
      </c>
      <c r="D1011" s="65" t="s">
        <v>860</v>
      </c>
      <c r="E1011" s="66" t="s">
        <v>117</v>
      </c>
      <c r="F1011" s="64">
        <v>102</v>
      </c>
      <c r="G1011" s="249"/>
      <c r="H1011" s="249">
        <f t="shared" ref="H1011:H1018" si="251">TRUNC((G1011*(1+$I$12)),2)</f>
        <v>0</v>
      </c>
      <c r="I1011" s="249">
        <f t="shared" ref="I1011:I1018" si="252">ROUND((F1011*H1011),2)</f>
        <v>0</v>
      </c>
      <c r="J1011" s="81" t="e">
        <f t="shared" ref="J1011:J1018" si="253">(I1011/$I$1421)</f>
        <v>#DIV/0!</v>
      </c>
      <c r="K1011" s="154"/>
    </row>
    <row r="1012" spans="1:11" s="157" customFormat="1" ht="27" outlineLevel="1">
      <c r="A1012" s="103" t="s">
        <v>1396</v>
      </c>
      <c r="B1012" s="63">
        <v>92762</v>
      </c>
      <c r="C1012" s="63" t="s">
        <v>18</v>
      </c>
      <c r="D1012" s="65" t="s">
        <v>857</v>
      </c>
      <c r="E1012" s="66" t="s">
        <v>117</v>
      </c>
      <c r="F1012" s="64">
        <v>324.52</v>
      </c>
      <c r="G1012" s="249"/>
      <c r="H1012" s="249">
        <f t="shared" si="251"/>
        <v>0</v>
      </c>
      <c r="I1012" s="249">
        <f t="shared" si="252"/>
        <v>0</v>
      </c>
      <c r="J1012" s="81" t="e">
        <f t="shared" si="253"/>
        <v>#DIV/0!</v>
      </c>
    </row>
    <row r="1013" spans="1:11" s="157" customFormat="1" ht="27" outlineLevel="1">
      <c r="A1013" s="103" t="s">
        <v>1422</v>
      </c>
      <c r="B1013" s="63">
        <v>92448</v>
      </c>
      <c r="C1013" s="63" t="s">
        <v>18</v>
      </c>
      <c r="D1013" s="65" t="s">
        <v>864</v>
      </c>
      <c r="E1013" s="66" t="s">
        <v>116</v>
      </c>
      <c r="F1013" s="64">
        <v>22.92</v>
      </c>
      <c r="G1013" s="249"/>
      <c r="H1013" s="249">
        <f t="shared" si="251"/>
        <v>0</v>
      </c>
      <c r="I1013" s="249">
        <f t="shared" si="252"/>
        <v>0</v>
      </c>
      <c r="J1013" s="81" t="e">
        <f t="shared" si="253"/>
        <v>#DIV/0!</v>
      </c>
    </row>
    <row r="1014" spans="1:11" s="157" customFormat="1" ht="27" outlineLevel="1">
      <c r="A1014" s="103" t="s">
        <v>1423</v>
      </c>
      <c r="B1014" s="63">
        <v>103674</v>
      </c>
      <c r="C1014" s="63" t="s">
        <v>18</v>
      </c>
      <c r="D1014" s="65" t="s">
        <v>863</v>
      </c>
      <c r="E1014" s="66" t="s">
        <v>218</v>
      </c>
      <c r="F1014" s="64">
        <v>5.5</v>
      </c>
      <c r="G1014" s="249"/>
      <c r="H1014" s="249">
        <f t="shared" si="251"/>
        <v>0</v>
      </c>
      <c r="I1014" s="249">
        <f t="shared" si="252"/>
        <v>0</v>
      </c>
      <c r="J1014" s="81" t="e">
        <f t="shared" si="253"/>
        <v>#DIV/0!</v>
      </c>
    </row>
    <row r="1015" spans="1:11" s="157" customFormat="1" ht="27" outlineLevel="1">
      <c r="A1015" s="103" t="s">
        <v>1428</v>
      </c>
      <c r="B1015" s="63">
        <v>87879</v>
      </c>
      <c r="C1015" s="63" t="s">
        <v>18</v>
      </c>
      <c r="D1015" s="65" t="s">
        <v>275</v>
      </c>
      <c r="E1015" s="66" t="s">
        <v>116</v>
      </c>
      <c r="F1015" s="64">
        <v>55</v>
      </c>
      <c r="G1015" s="249"/>
      <c r="H1015" s="249">
        <f t="shared" si="251"/>
        <v>0</v>
      </c>
      <c r="I1015" s="249">
        <f t="shared" si="252"/>
        <v>0</v>
      </c>
      <c r="J1015" s="81" t="e">
        <f t="shared" si="253"/>
        <v>#DIV/0!</v>
      </c>
    </row>
    <row r="1016" spans="1:11" s="157" customFormat="1" ht="40.5" outlineLevel="1">
      <c r="A1016" s="103" t="s">
        <v>1429</v>
      </c>
      <c r="B1016" s="63">
        <v>90406</v>
      </c>
      <c r="C1016" s="63" t="s">
        <v>18</v>
      </c>
      <c r="D1016" s="65" t="s">
        <v>276</v>
      </c>
      <c r="E1016" s="66" t="s">
        <v>116</v>
      </c>
      <c r="F1016" s="64">
        <f>F1015</f>
        <v>55</v>
      </c>
      <c r="G1016" s="249"/>
      <c r="H1016" s="249">
        <f t="shared" si="251"/>
        <v>0</v>
      </c>
      <c r="I1016" s="249">
        <f t="shared" si="252"/>
        <v>0</v>
      </c>
      <c r="J1016" s="81" t="e">
        <f t="shared" si="253"/>
        <v>#DIV/0!</v>
      </c>
    </row>
    <row r="1017" spans="1:11" s="157" customFormat="1" outlineLevel="1">
      <c r="A1017" s="103" t="s">
        <v>1520</v>
      </c>
      <c r="B1017" s="63">
        <v>88495</v>
      </c>
      <c r="C1017" s="63" t="s">
        <v>18</v>
      </c>
      <c r="D1017" s="65" t="s">
        <v>393</v>
      </c>
      <c r="E1017" s="66" t="s">
        <v>116</v>
      </c>
      <c r="F1017" s="64">
        <f>F1016</f>
        <v>55</v>
      </c>
      <c r="G1017" s="137"/>
      <c r="H1017" s="249">
        <f t="shared" si="251"/>
        <v>0</v>
      </c>
      <c r="I1017" s="249">
        <f t="shared" si="252"/>
        <v>0</v>
      </c>
      <c r="J1017" s="81" t="e">
        <f t="shared" si="253"/>
        <v>#DIV/0!</v>
      </c>
    </row>
    <row r="1018" spans="1:11" s="157" customFormat="1" outlineLevel="1">
      <c r="A1018" s="103" t="s">
        <v>1521</v>
      </c>
      <c r="B1018" s="63">
        <v>88489</v>
      </c>
      <c r="C1018" s="63" t="s">
        <v>18</v>
      </c>
      <c r="D1018" s="65" t="s">
        <v>36</v>
      </c>
      <c r="E1018" s="66" t="s">
        <v>116</v>
      </c>
      <c r="F1018" s="64">
        <f>F1017</f>
        <v>55</v>
      </c>
      <c r="G1018" s="137"/>
      <c r="H1018" s="249">
        <f t="shared" si="251"/>
        <v>0</v>
      </c>
      <c r="I1018" s="249">
        <f t="shared" si="252"/>
        <v>0</v>
      </c>
      <c r="J1018" s="81" t="e">
        <f t="shared" si="253"/>
        <v>#DIV/0!</v>
      </c>
    </row>
    <row r="1019" spans="1:11" s="157" customFormat="1">
      <c r="A1019" s="378" t="s">
        <v>1397</v>
      </c>
      <c r="B1019" s="378"/>
      <c r="C1019" s="378"/>
      <c r="D1019" s="378"/>
      <c r="E1019" s="378"/>
      <c r="F1019" s="378"/>
      <c r="G1019" s="378"/>
      <c r="H1019" s="378"/>
      <c r="I1019" s="177">
        <f>SUM(I1011:I1018)</f>
        <v>0</v>
      </c>
      <c r="J1019" s="144" t="e">
        <f>SUM(J1011:J1018)</f>
        <v>#DIV/0!</v>
      </c>
      <c r="K1019" s="318" t="e">
        <f>I1019/$I$1052</f>
        <v>#DIV/0!</v>
      </c>
    </row>
    <row r="1020" spans="1:11" ht="15.95" customHeight="1">
      <c r="A1020" s="61" t="s">
        <v>1398</v>
      </c>
      <c r="B1020" s="148"/>
      <c r="C1020" s="148"/>
      <c r="D1020" s="143" t="s">
        <v>1434</v>
      </c>
      <c r="E1020" s="384"/>
      <c r="F1020" s="385"/>
      <c r="G1020" s="385"/>
      <c r="H1020" s="385"/>
      <c r="I1020" s="385"/>
      <c r="J1020" s="386"/>
    </row>
    <row r="1021" spans="1:11" s="100" customFormat="1" ht="32.25" customHeight="1" outlineLevel="1">
      <c r="A1021" s="103" t="s">
        <v>1399</v>
      </c>
      <c r="B1021" s="67">
        <v>97622</v>
      </c>
      <c r="C1021" s="67" t="s">
        <v>18</v>
      </c>
      <c r="D1021" s="65" t="s">
        <v>24</v>
      </c>
      <c r="E1021" s="66" t="s">
        <v>116</v>
      </c>
      <c r="F1021" s="230">
        <f>(0.015*1.1)*15</f>
        <v>0.2475</v>
      </c>
      <c r="G1021" s="188"/>
      <c r="H1021" s="249">
        <f t="shared" ref="H1021:H1023" si="254">TRUNC((G1021*(1+$I$12)),2)</f>
        <v>0</v>
      </c>
      <c r="I1021" s="249">
        <f t="shared" ref="I1021:I1028" si="255">ROUND((F1021*H1021),2)</f>
        <v>0</v>
      </c>
      <c r="J1021" s="81" t="e">
        <f t="shared" ref="J1021:J1028" si="256">(I1021/$I$1421)</f>
        <v>#DIV/0!</v>
      </c>
    </row>
    <row r="1022" spans="1:11" s="166" customFormat="1" ht="40.5" outlineLevel="1">
      <c r="A1022" s="103" t="s">
        <v>1400</v>
      </c>
      <c r="B1022" s="63">
        <v>100983</v>
      </c>
      <c r="C1022" s="63" t="s">
        <v>18</v>
      </c>
      <c r="D1022" s="65" t="s">
        <v>1896</v>
      </c>
      <c r="E1022" s="66" t="s">
        <v>218</v>
      </c>
      <c r="F1022" s="64">
        <f>F1021*1.3</f>
        <v>0.32174999999999998</v>
      </c>
      <c r="G1022" s="350"/>
      <c r="H1022" s="350">
        <f t="shared" si="254"/>
        <v>0</v>
      </c>
      <c r="I1022" s="121">
        <f t="shared" si="255"/>
        <v>0</v>
      </c>
      <c r="J1022" s="349" t="e">
        <f t="shared" si="256"/>
        <v>#DIV/0!</v>
      </c>
    </row>
    <row r="1023" spans="1:11" s="166" customFormat="1" ht="27" outlineLevel="1">
      <c r="A1023" s="103" t="s">
        <v>1401</v>
      </c>
      <c r="B1023" s="63">
        <v>95875</v>
      </c>
      <c r="C1023" s="63" t="s">
        <v>18</v>
      </c>
      <c r="D1023" s="65" t="s">
        <v>1898</v>
      </c>
      <c r="E1023" s="66" t="s">
        <v>1897</v>
      </c>
      <c r="F1023" s="64">
        <f>F1022*4</f>
        <v>1.2869999999999999</v>
      </c>
      <c r="G1023" s="350"/>
      <c r="H1023" s="350">
        <f t="shared" si="254"/>
        <v>0</v>
      </c>
      <c r="I1023" s="121">
        <f t="shared" si="255"/>
        <v>0</v>
      </c>
      <c r="J1023" s="349" t="e">
        <f t="shared" si="256"/>
        <v>#DIV/0!</v>
      </c>
    </row>
    <row r="1024" spans="1:11" s="157" customFormat="1" ht="27" outlineLevel="1">
      <c r="A1024" s="103" t="s">
        <v>1402</v>
      </c>
      <c r="B1024" s="63" t="s">
        <v>10</v>
      </c>
      <c r="C1024" s="63" t="str">
        <f>[1]Composições!$I$136</f>
        <v>COMP11</v>
      </c>
      <c r="D1024" s="65" t="str">
        <f>[1]Composições!$B$136</f>
        <v>ESTACA BROCA DE CONCRETO, DIÂMETRO DE 25CM, ESCAVAÇÃO MANUAL COM TRADO CONCHA, INTEIRAMENTE ARMADA, INCLUSO CONCRETAGEM FCK 25 MPA. AF_05/2020</v>
      </c>
      <c r="E1024" s="66" t="s">
        <v>115</v>
      </c>
      <c r="F1024" s="64">
        <f>19*6</f>
        <v>114</v>
      </c>
      <c r="G1024" s="337"/>
      <c r="H1024" s="337">
        <f t="shared" ref="H1024:H1028" si="257">TRUNC((G1024*(1+$I$12)),2)</f>
        <v>0</v>
      </c>
      <c r="I1024" s="337">
        <f t="shared" si="255"/>
        <v>0</v>
      </c>
      <c r="J1024" s="81" t="e">
        <f t="shared" si="256"/>
        <v>#DIV/0!</v>
      </c>
    </row>
    <row r="1025" spans="1:11" s="157" customFormat="1" ht="27" outlineLevel="1">
      <c r="A1025" s="103" t="s">
        <v>1403</v>
      </c>
      <c r="B1025" s="63">
        <v>96523</v>
      </c>
      <c r="C1025" s="63" t="s">
        <v>18</v>
      </c>
      <c r="D1025" s="65" t="s">
        <v>1432</v>
      </c>
      <c r="E1025" s="66" t="s">
        <v>218</v>
      </c>
      <c r="F1025" s="64">
        <v>1.68</v>
      </c>
      <c r="G1025" s="337"/>
      <c r="H1025" s="337">
        <f t="shared" si="257"/>
        <v>0</v>
      </c>
      <c r="I1025" s="337">
        <f t="shared" si="255"/>
        <v>0</v>
      </c>
      <c r="J1025" s="81" t="e">
        <f t="shared" si="256"/>
        <v>#DIV/0!</v>
      </c>
    </row>
    <row r="1026" spans="1:11" s="157" customFormat="1" ht="27" outlineLevel="1">
      <c r="A1026" s="103" t="s">
        <v>1404</v>
      </c>
      <c r="B1026" s="63">
        <v>96531</v>
      </c>
      <c r="C1026" s="63" t="s">
        <v>18</v>
      </c>
      <c r="D1026" s="65" t="s">
        <v>1433</v>
      </c>
      <c r="E1026" s="66" t="s">
        <v>116</v>
      </c>
      <c r="F1026" s="64">
        <v>7.7</v>
      </c>
      <c r="G1026" s="337"/>
      <c r="H1026" s="337">
        <f t="shared" ref="H1026" si="258">TRUNC((G1026*(1+$I$12)),2)</f>
        <v>0</v>
      </c>
      <c r="I1026" s="337">
        <f t="shared" si="255"/>
        <v>0</v>
      </c>
      <c r="J1026" s="81" t="e">
        <f t="shared" si="256"/>
        <v>#DIV/0!</v>
      </c>
      <c r="K1026" s="157">
        <f>(2*7.56)+(2*7.29)</f>
        <v>29.7</v>
      </c>
    </row>
    <row r="1027" spans="1:11" s="157" customFormat="1" ht="27" outlineLevel="1">
      <c r="A1027" s="103" t="s">
        <v>1828</v>
      </c>
      <c r="B1027" s="63">
        <v>96545</v>
      </c>
      <c r="C1027" s="63" t="s">
        <v>18</v>
      </c>
      <c r="D1027" s="65" t="s">
        <v>267</v>
      </c>
      <c r="E1027" s="66" t="s">
        <v>117</v>
      </c>
      <c r="F1027" s="64">
        <v>92.4</v>
      </c>
      <c r="G1027" s="337"/>
      <c r="H1027" s="337">
        <f t="shared" si="257"/>
        <v>0</v>
      </c>
      <c r="I1027" s="337">
        <f t="shared" si="255"/>
        <v>0</v>
      </c>
      <c r="J1027" s="81" t="e">
        <f t="shared" si="256"/>
        <v>#DIV/0!</v>
      </c>
    </row>
    <row r="1028" spans="1:11" s="157" customFormat="1" ht="27" outlineLevel="1">
      <c r="A1028" s="103" t="s">
        <v>1829</v>
      </c>
      <c r="B1028" s="63" t="s">
        <v>10</v>
      </c>
      <c r="C1028" s="63" t="str">
        <f>[1]Composições!$I$146</f>
        <v>COMP12</v>
      </c>
      <c r="D1028" s="65" t="str">
        <f>[1]Composições!$B$146</f>
        <v>CONCRETAGEM DE BLOCOS DE COROAMENTO E VIGAS BALDRAME, FCK 25 MPA, INCLUSO LANÇAMENTO, ADENSAMENTO E ACABAMENTO. AF_06/2017</v>
      </c>
      <c r="E1028" s="66" t="s">
        <v>218</v>
      </c>
      <c r="F1028" s="64">
        <v>1.68</v>
      </c>
      <c r="G1028" s="337"/>
      <c r="H1028" s="337">
        <f t="shared" si="257"/>
        <v>0</v>
      </c>
      <c r="I1028" s="337">
        <f t="shared" si="255"/>
        <v>0</v>
      </c>
      <c r="J1028" s="81" t="e">
        <f t="shared" si="256"/>
        <v>#DIV/0!</v>
      </c>
      <c r="K1028" s="157">
        <f>((122.22*0.3*2)+(122.22*0.15))/4</f>
        <v>22.916249999999998</v>
      </c>
    </row>
    <row r="1029" spans="1:11" s="157" customFormat="1">
      <c r="A1029" s="378" t="s">
        <v>1405</v>
      </c>
      <c r="B1029" s="378"/>
      <c r="C1029" s="378"/>
      <c r="D1029" s="378"/>
      <c r="E1029" s="378"/>
      <c r="F1029" s="378"/>
      <c r="G1029" s="378"/>
      <c r="H1029" s="378"/>
      <c r="I1029" s="177">
        <f>SUM(I1021:I1028)</f>
        <v>0</v>
      </c>
      <c r="J1029" s="144" t="e">
        <f>SUM(J1021:J1028)</f>
        <v>#DIV/0!</v>
      </c>
      <c r="K1029" s="318" t="e">
        <f>I1029/$I$1052</f>
        <v>#DIV/0!</v>
      </c>
    </row>
    <row r="1030" spans="1:11" ht="15.95" customHeight="1">
      <c r="A1030" s="61" t="s">
        <v>1407</v>
      </c>
      <c r="B1030" s="148"/>
      <c r="C1030" s="148"/>
      <c r="D1030" s="143" t="s">
        <v>878</v>
      </c>
      <c r="E1030" s="384"/>
      <c r="F1030" s="385"/>
      <c r="G1030" s="385"/>
      <c r="H1030" s="385"/>
      <c r="I1030" s="385"/>
      <c r="J1030" s="386"/>
    </row>
    <row r="1031" spans="1:11" s="157" customFormat="1" ht="27" outlineLevel="1">
      <c r="A1031" s="103" t="s">
        <v>1408</v>
      </c>
      <c r="B1031" s="63">
        <v>88497</v>
      </c>
      <c r="C1031" s="63" t="s">
        <v>18</v>
      </c>
      <c r="D1031" s="65" t="s">
        <v>1420</v>
      </c>
      <c r="E1031" s="66" t="s">
        <v>116</v>
      </c>
      <c r="F1031" s="64">
        <v>304.68</v>
      </c>
      <c r="G1031" s="271"/>
      <c r="H1031" s="249">
        <f t="shared" ref="H1031:H1032" si="259">TRUNC((G1031*(1+$I$12)),2)</f>
        <v>0</v>
      </c>
      <c r="I1031" s="249">
        <f t="shared" ref="I1031:I1036" si="260">ROUND((F1031*H1031),2)</f>
        <v>0</v>
      </c>
      <c r="J1031" s="81" t="e">
        <f t="shared" ref="J1031:J1036" si="261">(I1031/$I$1421)</f>
        <v>#DIV/0!</v>
      </c>
    </row>
    <row r="1032" spans="1:11" s="157" customFormat="1" ht="27" outlineLevel="1">
      <c r="A1032" s="103" t="s">
        <v>1435</v>
      </c>
      <c r="B1032" s="63">
        <v>88489</v>
      </c>
      <c r="C1032" s="63" t="s">
        <v>18</v>
      </c>
      <c r="D1032" s="65" t="s">
        <v>1421</v>
      </c>
      <c r="E1032" s="66" t="s">
        <v>116</v>
      </c>
      <c r="F1032" s="64">
        <f>F1031</f>
        <v>304.68</v>
      </c>
      <c r="G1032" s="249"/>
      <c r="H1032" s="249">
        <f t="shared" si="259"/>
        <v>0</v>
      </c>
      <c r="I1032" s="249">
        <f t="shared" si="260"/>
        <v>0</v>
      </c>
      <c r="J1032" s="81" t="e">
        <f t="shared" si="261"/>
        <v>#DIV/0!</v>
      </c>
    </row>
    <row r="1033" spans="1:11" s="157" customFormat="1" ht="27" outlineLevel="1">
      <c r="A1033" s="103" t="s">
        <v>1436</v>
      </c>
      <c r="B1033" s="63">
        <v>88497</v>
      </c>
      <c r="C1033" s="63" t="s">
        <v>18</v>
      </c>
      <c r="D1033" s="65" t="s">
        <v>1424</v>
      </c>
      <c r="E1033" s="66" t="s">
        <v>116</v>
      </c>
      <c r="F1033" s="64">
        <v>94.68</v>
      </c>
      <c r="G1033" s="271"/>
      <c r="H1033" s="249">
        <f t="shared" ref="H1033:H1034" si="262">TRUNC((G1033*(1+$I$12)),2)</f>
        <v>0</v>
      </c>
      <c r="I1033" s="249">
        <f t="shared" si="260"/>
        <v>0</v>
      </c>
      <c r="J1033" s="81" t="e">
        <f t="shared" si="261"/>
        <v>#DIV/0!</v>
      </c>
    </row>
    <row r="1034" spans="1:11" s="157" customFormat="1" ht="27" outlineLevel="1">
      <c r="A1034" s="103" t="s">
        <v>1437</v>
      </c>
      <c r="B1034" s="63">
        <v>88489</v>
      </c>
      <c r="C1034" s="63" t="s">
        <v>18</v>
      </c>
      <c r="D1034" s="65" t="s">
        <v>1425</v>
      </c>
      <c r="E1034" s="66" t="s">
        <v>116</v>
      </c>
      <c r="F1034" s="64">
        <f>F1033</f>
        <v>94.68</v>
      </c>
      <c r="G1034" s="249"/>
      <c r="H1034" s="249">
        <f t="shared" si="262"/>
        <v>0</v>
      </c>
      <c r="I1034" s="249">
        <f t="shared" si="260"/>
        <v>0</v>
      </c>
      <c r="J1034" s="81" t="e">
        <f t="shared" si="261"/>
        <v>#DIV/0!</v>
      </c>
    </row>
    <row r="1035" spans="1:11" s="157" customFormat="1" ht="27" outlineLevel="1">
      <c r="A1035" s="103" t="s">
        <v>1438</v>
      </c>
      <c r="B1035" s="63">
        <v>88497</v>
      </c>
      <c r="C1035" s="63" t="s">
        <v>18</v>
      </c>
      <c r="D1035" s="65" t="s">
        <v>1426</v>
      </c>
      <c r="E1035" s="66" t="s">
        <v>116</v>
      </c>
      <c r="F1035" s="64">
        <v>81.72</v>
      </c>
      <c r="G1035" s="271"/>
      <c r="H1035" s="249">
        <f t="shared" ref="H1035:H1036" si="263">TRUNC((G1035*(1+$I$12)),2)</f>
        <v>0</v>
      </c>
      <c r="I1035" s="249">
        <f t="shared" si="260"/>
        <v>0</v>
      </c>
      <c r="J1035" s="81" t="e">
        <f t="shared" si="261"/>
        <v>#DIV/0!</v>
      </c>
    </row>
    <row r="1036" spans="1:11" s="157" customFormat="1" ht="27" outlineLevel="1">
      <c r="A1036" s="103" t="s">
        <v>1439</v>
      </c>
      <c r="B1036" s="63">
        <v>88489</v>
      </c>
      <c r="C1036" s="63" t="s">
        <v>18</v>
      </c>
      <c r="D1036" s="65" t="s">
        <v>1427</v>
      </c>
      <c r="E1036" s="66" t="s">
        <v>116</v>
      </c>
      <c r="F1036" s="64">
        <f>F1035</f>
        <v>81.72</v>
      </c>
      <c r="G1036" s="249"/>
      <c r="H1036" s="249">
        <f t="shared" si="263"/>
        <v>0</v>
      </c>
      <c r="I1036" s="249">
        <f t="shared" si="260"/>
        <v>0</v>
      </c>
      <c r="J1036" s="81" t="e">
        <f t="shared" si="261"/>
        <v>#DIV/0!</v>
      </c>
    </row>
    <row r="1037" spans="1:11" s="157" customFormat="1">
      <c r="A1037" s="378" t="s">
        <v>1411</v>
      </c>
      <c r="B1037" s="378"/>
      <c r="C1037" s="378"/>
      <c r="D1037" s="378"/>
      <c r="E1037" s="378"/>
      <c r="F1037" s="378"/>
      <c r="G1037" s="378"/>
      <c r="H1037" s="378"/>
      <c r="I1037" s="177">
        <f>SUM(I1031:I1036)</f>
        <v>0</v>
      </c>
      <c r="J1037" s="144" t="e">
        <f>SUM(J1031:J1036)</f>
        <v>#DIV/0!</v>
      </c>
      <c r="K1037" s="318" t="e">
        <f>I1037/$I$1052</f>
        <v>#DIV/0!</v>
      </c>
    </row>
    <row r="1038" spans="1:11" ht="15.95" customHeight="1">
      <c r="A1038" s="61" t="s">
        <v>1440</v>
      </c>
      <c r="B1038" s="148"/>
      <c r="C1038" s="148"/>
      <c r="D1038" s="143" t="s">
        <v>1406</v>
      </c>
      <c r="E1038" s="384"/>
      <c r="F1038" s="385"/>
      <c r="G1038" s="385"/>
      <c r="H1038" s="385"/>
      <c r="I1038" s="385"/>
      <c r="J1038" s="386"/>
    </row>
    <row r="1039" spans="1:11" s="157" customFormat="1" ht="15.95" customHeight="1" outlineLevel="1">
      <c r="A1039" s="103" t="s">
        <v>1441</v>
      </c>
      <c r="B1039" s="149" t="s">
        <v>883</v>
      </c>
      <c r="C1039" s="150" t="s">
        <v>7</v>
      </c>
      <c r="D1039" s="155" t="s">
        <v>882</v>
      </c>
      <c r="E1039" s="86" t="s">
        <v>116</v>
      </c>
      <c r="F1039" s="80">
        <f>3*2.1</f>
        <v>6.3000000000000007</v>
      </c>
      <c r="G1039" s="124"/>
      <c r="H1039" s="124">
        <f t="shared" ref="H1039:H1046" si="264">TRUNC((G1039*(1+$I$12)),2)</f>
        <v>0</v>
      </c>
      <c r="I1039" s="124">
        <f t="shared" ref="I1039:I1046" si="265">ROUND((F1039*H1039),2)</f>
        <v>0</v>
      </c>
      <c r="J1039" s="81" t="e">
        <f t="shared" ref="J1039:J1046" si="266">(I1039/$I$1421)</f>
        <v>#DIV/0!</v>
      </c>
    </row>
    <row r="1040" spans="1:11" s="157" customFormat="1" ht="40.5" outlineLevel="1">
      <c r="A1040" s="103" t="s">
        <v>1830</v>
      </c>
      <c r="B1040" s="63">
        <v>100983</v>
      </c>
      <c r="C1040" s="63" t="s">
        <v>18</v>
      </c>
      <c r="D1040" s="65" t="s">
        <v>1896</v>
      </c>
      <c r="E1040" s="66" t="s">
        <v>218</v>
      </c>
      <c r="F1040" s="64">
        <f>F1039*0.05</f>
        <v>0.31500000000000006</v>
      </c>
      <c r="G1040" s="350"/>
      <c r="H1040" s="350">
        <f t="shared" si="264"/>
        <v>0</v>
      </c>
      <c r="I1040" s="121">
        <f t="shared" si="265"/>
        <v>0</v>
      </c>
      <c r="J1040" s="349" t="e">
        <f t="shared" si="266"/>
        <v>#DIV/0!</v>
      </c>
    </row>
    <row r="1041" spans="1:11" s="157" customFormat="1" ht="27" outlineLevel="1">
      <c r="A1041" s="103" t="s">
        <v>1831</v>
      </c>
      <c r="B1041" s="63">
        <v>95875</v>
      </c>
      <c r="C1041" s="63" t="s">
        <v>18</v>
      </c>
      <c r="D1041" s="65" t="s">
        <v>1898</v>
      </c>
      <c r="E1041" s="66" t="s">
        <v>1897</v>
      </c>
      <c r="F1041" s="64">
        <f>F1040*4</f>
        <v>1.2600000000000002</v>
      </c>
      <c r="G1041" s="350"/>
      <c r="H1041" s="350">
        <f t="shared" si="264"/>
        <v>0</v>
      </c>
      <c r="I1041" s="121">
        <f t="shared" si="265"/>
        <v>0</v>
      </c>
      <c r="J1041" s="349" t="e">
        <f t="shared" si="266"/>
        <v>#DIV/0!</v>
      </c>
    </row>
    <row r="1042" spans="1:11" s="157" customFormat="1" outlineLevel="1">
      <c r="A1042" s="103" t="s">
        <v>1832</v>
      </c>
      <c r="B1042" s="63" t="s">
        <v>10</v>
      </c>
      <c r="C1042" s="63" t="str">
        <f>[1]Composições!$I$114</f>
        <v>COMP08</v>
      </c>
      <c r="D1042" s="65" t="str">
        <f>[1]Composições!$B$114</f>
        <v>REQUADRO DE PORTAS E JANELAS</v>
      </c>
      <c r="E1042" s="66" t="s">
        <v>116</v>
      </c>
      <c r="F1042" s="80">
        <f>(3*0.15)+(3*0.15*2)</f>
        <v>1.3499999999999999</v>
      </c>
      <c r="G1042" s="124"/>
      <c r="H1042" s="124">
        <f t="shared" si="264"/>
        <v>0</v>
      </c>
      <c r="I1042" s="124">
        <f t="shared" si="265"/>
        <v>0</v>
      </c>
      <c r="J1042" s="81" t="e">
        <f t="shared" si="266"/>
        <v>#DIV/0!</v>
      </c>
    </row>
    <row r="1043" spans="1:11" s="157" customFormat="1" outlineLevel="1">
      <c r="A1043" s="103" t="s">
        <v>1833</v>
      </c>
      <c r="B1043" s="168" t="s">
        <v>885</v>
      </c>
      <c r="C1043" s="151" t="s">
        <v>7</v>
      </c>
      <c r="D1043" s="152" t="s">
        <v>891</v>
      </c>
      <c r="E1043" s="66" t="s">
        <v>116</v>
      </c>
      <c r="F1043" s="64">
        <f>F1039</f>
        <v>6.3000000000000007</v>
      </c>
      <c r="G1043" s="249"/>
      <c r="H1043" s="167">
        <f t="shared" si="264"/>
        <v>0</v>
      </c>
      <c r="I1043" s="124">
        <f t="shared" si="265"/>
        <v>0</v>
      </c>
      <c r="J1043" s="81" t="e">
        <f t="shared" si="266"/>
        <v>#DIV/0!</v>
      </c>
    </row>
    <row r="1044" spans="1:11" s="157" customFormat="1" outlineLevel="1">
      <c r="A1044" s="103" t="s">
        <v>1834</v>
      </c>
      <c r="B1044" s="168" t="s">
        <v>466</v>
      </c>
      <c r="C1044" s="151" t="s">
        <v>9</v>
      </c>
      <c r="D1044" s="152" t="s">
        <v>2042</v>
      </c>
      <c r="E1044" s="66" t="s">
        <v>116</v>
      </c>
      <c r="F1044" s="64"/>
      <c r="G1044" s="377"/>
      <c r="H1044" s="377">
        <f t="shared" ref="H1044" si="267">TRUNC((G1044*(1+$I$12)),2)</f>
        <v>0</v>
      </c>
      <c r="I1044" s="124">
        <f t="shared" ref="I1044" si="268">ROUND((F1044*H1044),2)</f>
        <v>0</v>
      </c>
      <c r="J1044" s="81"/>
    </row>
    <row r="1045" spans="1:11" s="157" customFormat="1" outlineLevel="1">
      <c r="A1045" s="103" t="s">
        <v>1943</v>
      </c>
      <c r="B1045" s="168" t="s">
        <v>886</v>
      </c>
      <c r="C1045" s="151" t="s">
        <v>7</v>
      </c>
      <c r="D1045" s="152" t="s">
        <v>887</v>
      </c>
      <c r="E1045" s="66" t="s">
        <v>118</v>
      </c>
      <c r="F1045" s="64">
        <v>1</v>
      </c>
      <c r="G1045" s="249"/>
      <c r="H1045" s="167">
        <f t="shared" si="264"/>
        <v>0</v>
      </c>
      <c r="I1045" s="124">
        <f t="shared" si="265"/>
        <v>0</v>
      </c>
      <c r="J1045" s="81" t="e">
        <f t="shared" si="266"/>
        <v>#DIV/0!</v>
      </c>
    </row>
    <row r="1046" spans="1:11" s="157" customFormat="1" outlineLevel="1">
      <c r="A1046" s="103" t="s">
        <v>2043</v>
      </c>
      <c r="B1046" s="168" t="s">
        <v>889</v>
      </c>
      <c r="C1046" s="151" t="s">
        <v>7</v>
      </c>
      <c r="D1046" s="152" t="s">
        <v>888</v>
      </c>
      <c r="E1046" s="66" t="s">
        <v>118</v>
      </c>
      <c r="F1046" s="64">
        <v>1</v>
      </c>
      <c r="G1046" s="249"/>
      <c r="H1046" s="167">
        <f t="shared" si="264"/>
        <v>0</v>
      </c>
      <c r="I1046" s="124">
        <f t="shared" si="265"/>
        <v>0</v>
      </c>
      <c r="J1046" s="81" t="e">
        <f t="shared" si="266"/>
        <v>#DIV/0!</v>
      </c>
    </row>
    <row r="1047" spans="1:11" s="157" customFormat="1">
      <c r="A1047" s="378" t="s">
        <v>1600</v>
      </c>
      <c r="B1047" s="378"/>
      <c r="C1047" s="378"/>
      <c r="D1047" s="378"/>
      <c r="E1047" s="378"/>
      <c r="F1047" s="378"/>
      <c r="G1047" s="378"/>
      <c r="H1047" s="378"/>
      <c r="I1047" s="177">
        <f>SUM(I1039:I1046)</f>
        <v>0</v>
      </c>
      <c r="J1047" s="144" t="e">
        <f>SUM(J1039:J1046)</f>
        <v>#DIV/0!</v>
      </c>
      <c r="K1047" s="318" t="e">
        <f>I1047/$I$1052</f>
        <v>#DIV/0!</v>
      </c>
    </row>
    <row r="1048" spans="1:11" ht="15.95" customHeight="1">
      <c r="A1048" s="61" t="s">
        <v>1835</v>
      </c>
      <c r="B1048" s="148"/>
      <c r="C1048" s="148"/>
      <c r="D1048" s="143" t="s">
        <v>1409</v>
      </c>
      <c r="E1048" s="384"/>
      <c r="F1048" s="385"/>
      <c r="G1048" s="385"/>
      <c r="H1048" s="385"/>
      <c r="I1048" s="385"/>
      <c r="J1048" s="386"/>
    </row>
    <row r="1049" spans="1:11" s="157" customFormat="1" ht="15.95" customHeight="1" outlineLevel="1">
      <c r="A1049" s="103" t="s">
        <v>1836</v>
      </c>
      <c r="B1049" s="101">
        <v>103946</v>
      </c>
      <c r="C1049" s="101" t="s">
        <v>7</v>
      </c>
      <c r="D1049" s="236" t="s">
        <v>1410</v>
      </c>
      <c r="E1049" s="86" t="s">
        <v>116</v>
      </c>
      <c r="F1049" s="80">
        <v>518.27</v>
      </c>
      <c r="G1049" s="124"/>
      <c r="H1049" s="124">
        <f t="shared" ref="H1049" si="269">TRUNC((G1049*(1+$I$12)),2)</f>
        <v>0</v>
      </c>
      <c r="I1049" s="124">
        <f t="shared" ref="I1049" si="270">ROUND((F1049*H1049),2)</f>
        <v>0</v>
      </c>
      <c r="J1049" s="81" t="e">
        <f>(I1049/$I$1421)</f>
        <v>#DIV/0!</v>
      </c>
    </row>
    <row r="1050" spans="1:11" s="157" customFormat="1" ht="15.95" customHeight="1" outlineLevel="1">
      <c r="A1050" s="103" t="s">
        <v>2039</v>
      </c>
      <c r="B1050" s="63" t="s">
        <v>2040</v>
      </c>
      <c r="C1050" s="63" t="s">
        <v>9</v>
      </c>
      <c r="D1050" s="65" t="s">
        <v>2041</v>
      </c>
      <c r="E1050" s="66" t="s">
        <v>317</v>
      </c>
      <c r="F1050" s="64">
        <v>5</v>
      </c>
      <c r="G1050" s="124"/>
      <c r="H1050" s="124">
        <f t="shared" ref="H1050" si="271">TRUNC((G1050*(1+$I$12)),2)</f>
        <v>0</v>
      </c>
      <c r="I1050" s="124">
        <f t="shared" ref="I1050" si="272">ROUND((F1050*H1050),2)</f>
        <v>0</v>
      </c>
      <c r="J1050" s="81" t="e">
        <f>(I1050/$I$1421)</f>
        <v>#DIV/0!</v>
      </c>
    </row>
    <row r="1051" spans="1:11" s="157" customFormat="1">
      <c r="A1051" s="378" t="s">
        <v>1837</v>
      </c>
      <c r="B1051" s="378"/>
      <c r="C1051" s="378"/>
      <c r="D1051" s="378"/>
      <c r="E1051" s="378"/>
      <c r="F1051" s="378"/>
      <c r="G1051" s="378"/>
      <c r="H1051" s="378"/>
      <c r="I1051" s="177">
        <f>SUM(I1049:I1050)</f>
        <v>0</v>
      </c>
      <c r="J1051" s="144" t="e">
        <f>J1049:J1050</f>
        <v>#VALUE!</v>
      </c>
      <c r="K1051" s="318" t="e">
        <f>I1051/$I$1052</f>
        <v>#DIV/0!</v>
      </c>
    </row>
    <row r="1052" spans="1:11" s="157" customFormat="1" collapsed="1">
      <c r="A1052" s="387" t="s">
        <v>1412</v>
      </c>
      <c r="B1052" s="387"/>
      <c r="C1052" s="387"/>
      <c r="D1052" s="387"/>
      <c r="E1052" s="387"/>
      <c r="F1052" s="387"/>
      <c r="G1052" s="387"/>
      <c r="H1052" s="387"/>
      <c r="I1052" s="175">
        <f>I958+I968+I991+I1009+I1019+I1029+I1037+I1047+I1051</f>
        <v>0</v>
      </c>
      <c r="J1052" s="144" t="e">
        <f>J958+J968+J991+J1009+J1019+J1029+J1037+J1047+J1051</f>
        <v>#DIV/0!</v>
      </c>
    </row>
    <row r="1053" spans="1:11" ht="16.5" customHeight="1">
      <c r="A1053" s="62" t="s">
        <v>17</v>
      </c>
      <c r="B1053" s="383"/>
      <c r="C1053" s="383"/>
      <c r="D1053" s="76" t="s">
        <v>1132</v>
      </c>
      <c r="E1053" s="379"/>
      <c r="F1053" s="379"/>
      <c r="G1053" s="379"/>
      <c r="H1053" s="379"/>
      <c r="I1053" s="379"/>
      <c r="J1053" s="380"/>
    </row>
    <row r="1054" spans="1:11" ht="15" customHeight="1">
      <c r="A1054" s="61" t="s">
        <v>1133</v>
      </c>
      <c r="B1054" s="381"/>
      <c r="C1054" s="381"/>
      <c r="D1054" s="107" t="s">
        <v>34</v>
      </c>
      <c r="E1054" s="382"/>
      <c r="F1054" s="382"/>
      <c r="G1054" s="382"/>
      <c r="H1054" s="382"/>
      <c r="I1054" s="382"/>
      <c r="J1054" s="382"/>
    </row>
    <row r="1055" spans="1:11" s="157" customFormat="1" outlineLevel="1">
      <c r="A1055" s="63" t="s">
        <v>1453</v>
      </c>
      <c r="B1055" s="5" t="s">
        <v>1445</v>
      </c>
      <c r="C1055" s="5" t="s">
        <v>9</v>
      </c>
      <c r="D1055" s="129" t="s">
        <v>1444</v>
      </c>
      <c r="E1055" s="66" t="s">
        <v>218</v>
      </c>
      <c r="F1055" s="64">
        <v>61.26</v>
      </c>
      <c r="G1055" s="249"/>
      <c r="H1055" s="249">
        <f t="shared" ref="H1055:H1061" si="273">TRUNC((G1055*(1+$I$12)),2)</f>
        <v>0</v>
      </c>
      <c r="I1055" s="249">
        <f t="shared" ref="I1055:I1064" si="274">ROUND((F1055*H1055),2)</f>
        <v>0</v>
      </c>
      <c r="J1055" s="248" t="e">
        <f t="shared" ref="J1055:J1064" si="275">(I1055/$I$1421)</f>
        <v>#DIV/0!</v>
      </c>
    </row>
    <row r="1056" spans="1:11" s="157" customFormat="1" ht="40.5" outlineLevel="1">
      <c r="A1056" s="63" t="s">
        <v>1454</v>
      </c>
      <c r="B1056" s="63">
        <v>100983</v>
      </c>
      <c r="C1056" s="63" t="s">
        <v>18</v>
      </c>
      <c r="D1056" s="65" t="s">
        <v>1896</v>
      </c>
      <c r="E1056" s="66" t="s">
        <v>218</v>
      </c>
      <c r="F1056" s="64">
        <f>F1055*1.3</f>
        <v>79.638000000000005</v>
      </c>
      <c r="G1056" s="350"/>
      <c r="H1056" s="350">
        <f t="shared" si="273"/>
        <v>0</v>
      </c>
      <c r="I1056" s="121">
        <f t="shared" si="274"/>
        <v>0</v>
      </c>
      <c r="J1056" s="349" t="e">
        <f t="shared" si="275"/>
        <v>#DIV/0!</v>
      </c>
    </row>
    <row r="1057" spans="1:11" s="157" customFormat="1" ht="27" outlineLevel="1">
      <c r="A1057" s="63" t="s">
        <v>1455</v>
      </c>
      <c r="B1057" s="63">
        <v>95875</v>
      </c>
      <c r="C1057" s="63" t="s">
        <v>18</v>
      </c>
      <c r="D1057" s="65" t="s">
        <v>1898</v>
      </c>
      <c r="E1057" s="66" t="s">
        <v>1897</v>
      </c>
      <c r="F1057" s="64">
        <f>F1056*4</f>
        <v>318.55200000000002</v>
      </c>
      <c r="G1057" s="350"/>
      <c r="H1057" s="350">
        <f t="shared" si="273"/>
        <v>0</v>
      </c>
      <c r="I1057" s="121">
        <f t="shared" si="274"/>
        <v>0</v>
      </c>
      <c r="J1057" s="349" t="e">
        <f t="shared" si="275"/>
        <v>#DIV/0!</v>
      </c>
    </row>
    <row r="1058" spans="1:11" s="157" customFormat="1" ht="27" outlineLevel="1">
      <c r="A1058" s="63" t="s">
        <v>1456</v>
      </c>
      <c r="B1058" s="63">
        <v>97084</v>
      </c>
      <c r="C1058" s="63" t="s">
        <v>18</v>
      </c>
      <c r="D1058" s="65" t="s">
        <v>791</v>
      </c>
      <c r="E1058" s="68" t="s">
        <v>116</v>
      </c>
      <c r="F1058" s="64">
        <v>612.55999999999995</v>
      </c>
      <c r="G1058" s="249"/>
      <c r="H1058" s="249">
        <f t="shared" si="273"/>
        <v>0</v>
      </c>
      <c r="I1058" s="249">
        <f t="shared" si="274"/>
        <v>0</v>
      </c>
      <c r="J1058" s="248" t="e">
        <f t="shared" si="275"/>
        <v>#DIV/0!</v>
      </c>
    </row>
    <row r="1059" spans="1:11" s="100" customFormat="1" ht="27" outlineLevel="1">
      <c r="A1059" s="63" t="s">
        <v>1457</v>
      </c>
      <c r="B1059" s="128">
        <v>96622</v>
      </c>
      <c r="C1059" s="128" t="s">
        <v>18</v>
      </c>
      <c r="D1059" s="82" t="s">
        <v>1895</v>
      </c>
      <c r="E1059" s="88" t="s">
        <v>218</v>
      </c>
      <c r="F1059" s="75">
        <f>F1058*0.05</f>
        <v>30.628</v>
      </c>
      <c r="G1059" s="145"/>
      <c r="H1059" s="84">
        <f t="shared" si="273"/>
        <v>0</v>
      </c>
      <c r="I1059" s="249">
        <f t="shared" si="274"/>
        <v>0</v>
      </c>
      <c r="J1059" s="248" t="e">
        <f t="shared" si="275"/>
        <v>#DIV/0!</v>
      </c>
    </row>
    <row r="1060" spans="1:11" s="100" customFormat="1" ht="27" outlineLevel="1">
      <c r="A1060" s="63" t="s">
        <v>1458</v>
      </c>
      <c r="B1060" s="63">
        <v>94995</v>
      </c>
      <c r="C1060" s="63" t="s">
        <v>18</v>
      </c>
      <c r="D1060" s="65" t="s">
        <v>1443</v>
      </c>
      <c r="E1060" s="68" t="s">
        <v>116</v>
      </c>
      <c r="F1060" s="64">
        <v>612.55999999999995</v>
      </c>
      <c r="G1060" s="252"/>
      <c r="H1060" s="249">
        <f t="shared" si="273"/>
        <v>0</v>
      </c>
      <c r="I1060" s="249">
        <f t="shared" si="274"/>
        <v>0</v>
      </c>
      <c r="J1060" s="248" t="e">
        <f t="shared" si="275"/>
        <v>#DIV/0!</v>
      </c>
    </row>
    <row r="1061" spans="1:11" s="157" customFormat="1" ht="15.75" customHeight="1" outlineLevel="1">
      <c r="A1061" s="63" t="s">
        <v>1838</v>
      </c>
      <c r="B1061" s="5" t="s">
        <v>129</v>
      </c>
      <c r="C1061" s="5" t="s">
        <v>7</v>
      </c>
      <c r="D1061" s="106" t="s">
        <v>130</v>
      </c>
      <c r="E1061" s="68" t="s">
        <v>116</v>
      </c>
      <c r="F1061" s="64">
        <v>612.55999999999995</v>
      </c>
      <c r="G1061" s="252"/>
      <c r="H1061" s="249">
        <f t="shared" si="273"/>
        <v>0</v>
      </c>
      <c r="I1061" s="249">
        <f t="shared" si="274"/>
        <v>0</v>
      </c>
      <c r="J1061" s="248" t="e">
        <f t="shared" si="275"/>
        <v>#DIV/0!</v>
      </c>
    </row>
    <row r="1062" spans="1:11" s="157" customFormat="1" ht="15.95" customHeight="1" outlineLevel="1">
      <c r="A1062" s="63" t="s">
        <v>1839</v>
      </c>
      <c r="B1062" s="5" t="s">
        <v>1446</v>
      </c>
      <c r="C1062" s="5" t="s">
        <v>7</v>
      </c>
      <c r="D1062" s="106" t="s">
        <v>1447</v>
      </c>
      <c r="E1062" s="68" t="s">
        <v>118</v>
      </c>
      <c r="F1062" s="64">
        <v>1</v>
      </c>
      <c r="G1062" s="252"/>
      <c r="H1062" s="249">
        <f t="shared" ref="H1062" si="276">TRUNC((G1062*(1+$I$12)),2)</f>
        <v>0</v>
      </c>
      <c r="I1062" s="249">
        <f t="shared" si="274"/>
        <v>0</v>
      </c>
      <c r="J1062" s="248" t="e">
        <f t="shared" si="275"/>
        <v>#DIV/0!</v>
      </c>
    </row>
    <row r="1063" spans="1:11" s="157" customFormat="1" ht="15.95" customHeight="1" outlineLevel="1">
      <c r="A1063" s="63" t="s">
        <v>1840</v>
      </c>
      <c r="B1063" s="5" t="s">
        <v>1452</v>
      </c>
      <c r="C1063" s="5" t="s">
        <v>7</v>
      </c>
      <c r="D1063" s="106" t="s">
        <v>1451</v>
      </c>
      <c r="E1063" s="68" t="s">
        <v>317</v>
      </c>
      <c r="F1063" s="64">
        <v>2</v>
      </c>
      <c r="G1063" s="252"/>
      <c r="H1063" s="249">
        <f t="shared" ref="H1063:H1064" si="277">TRUNC((G1063*(1+$I$12)),2)</f>
        <v>0</v>
      </c>
      <c r="I1063" s="249">
        <f t="shared" si="274"/>
        <v>0</v>
      </c>
      <c r="J1063" s="248" t="e">
        <f t="shared" si="275"/>
        <v>#DIV/0!</v>
      </c>
    </row>
    <row r="1064" spans="1:11" s="157" customFormat="1" ht="15.95" customHeight="1" outlineLevel="1">
      <c r="A1064" s="63" t="s">
        <v>1944</v>
      </c>
      <c r="B1064" s="5" t="s">
        <v>1449</v>
      </c>
      <c r="C1064" s="5" t="s">
        <v>7</v>
      </c>
      <c r="D1064" s="106" t="s">
        <v>1448</v>
      </c>
      <c r="E1064" s="68" t="s">
        <v>118</v>
      </c>
      <c r="F1064" s="64">
        <v>1</v>
      </c>
      <c r="G1064" s="252"/>
      <c r="H1064" s="249">
        <f t="shared" si="277"/>
        <v>0</v>
      </c>
      <c r="I1064" s="249">
        <f t="shared" si="274"/>
        <v>0</v>
      </c>
      <c r="J1064" s="248" t="e">
        <f t="shared" si="275"/>
        <v>#DIV/0!</v>
      </c>
    </row>
    <row r="1065" spans="1:11" s="157" customFormat="1">
      <c r="A1065" s="378" t="s">
        <v>1450</v>
      </c>
      <c r="B1065" s="378"/>
      <c r="C1065" s="378"/>
      <c r="D1065" s="378"/>
      <c r="E1065" s="378"/>
      <c r="F1065" s="378"/>
      <c r="G1065" s="378"/>
      <c r="H1065" s="378"/>
      <c r="I1065" s="177">
        <f>SUM(I1055:I1064)</f>
        <v>0</v>
      </c>
      <c r="J1065" s="144" t="e">
        <f>SUM(J1055:J1064)</f>
        <v>#DIV/0!</v>
      </c>
      <c r="K1065" s="318" t="e">
        <f>I1065/$I$1112</f>
        <v>#DIV/0!</v>
      </c>
    </row>
    <row r="1066" spans="1:11" ht="16.5" customHeight="1">
      <c r="A1066" s="61" t="s">
        <v>1442</v>
      </c>
      <c r="B1066" s="148"/>
      <c r="C1066" s="148"/>
      <c r="D1066" s="143" t="s">
        <v>1459</v>
      </c>
      <c r="E1066" s="384"/>
      <c r="F1066" s="385"/>
      <c r="G1066" s="385"/>
      <c r="H1066" s="385"/>
      <c r="I1066" s="385"/>
      <c r="J1066" s="386"/>
    </row>
    <row r="1067" spans="1:11" s="157" customFormat="1" outlineLevel="1">
      <c r="A1067" s="103" t="s">
        <v>1945</v>
      </c>
      <c r="B1067" s="63">
        <v>88489</v>
      </c>
      <c r="C1067" s="63" t="s">
        <v>18</v>
      </c>
      <c r="D1067" s="65" t="s">
        <v>1461</v>
      </c>
      <c r="E1067" s="66" t="s">
        <v>116</v>
      </c>
      <c r="F1067" s="64">
        <v>165.55</v>
      </c>
      <c r="G1067" s="249"/>
      <c r="H1067" s="249">
        <f t="shared" ref="H1067" si="278">TRUNC((G1067*(1+$I$12)),2)</f>
        <v>0</v>
      </c>
      <c r="I1067" s="249">
        <f t="shared" ref="I1067" si="279">ROUND((F1067*H1067),2)</f>
        <v>0</v>
      </c>
      <c r="J1067" s="81" t="e">
        <f>(I1067/$I$1421)</f>
        <v>#DIV/0!</v>
      </c>
    </row>
    <row r="1068" spans="1:11" s="157" customFormat="1">
      <c r="A1068" s="378" t="s">
        <v>1460</v>
      </c>
      <c r="B1068" s="378"/>
      <c r="C1068" s="378"/>
      <c r="D1068" s="378"/>
      <c r="E1068" s="378"/>
      <c r="F1068" s="378"/>
      <c r="G1068" s="378"/>
      <c r="H1068" s="378"/>
      <c r="I1068" s="177">
        <f>SUM(I1067:I1067)</f>
        <v>0</v>
      </c>
      <c r="J1068" s="144" t="e">
        <f>J1067</f>
        <v>#DIV/0!</v>
      </c>
      <c r="K1068" s="318" t="e">
        <f>I1068/$I$1112</f>
        <v>#DIV/0!</v>
      </c>
    </row>
    <row r="1069" spans="1:11" ht="15.95" customHeight="1">
      <c r="A1069" s="61" t="s">
        <v>1462</v>
      </c>
      <c r="B1069" s="234"/>
      <c r="C1069" s="96"/>
      <c r="D1069" s="143" t="s">
        <v>1406</v>
      </c>
      <c r="E1069" s="384"/>
      <c r="F1069" s="385"/>
      <c r="G1069" s="385"/>
      <c r="H1069" s="385"/>
      <c r="I1069" s="385"/>
      <c r="J1069" s="386"/>
    </row>
    <row r="1070" spans="1:11" s="157" customFormat="1" ht="15.95" customHeight="1" outlineLevel="1">
      <c r="A1070" s="103" t="s">
        <v>1463</v>
      </c>
      <c r="B1070" s="105" t="s">
        <v>883</v>
      </c>
      <c r="C1070" s="105" t="s">
        <v>7</v>
      </c>
      <c r="D1070" s="236" t="s">
        <v>882</v>
      </c>
      <c r="E1070" s="86" t="s">
        <v>116</v>
      </c>
      <c r="F1070" s="80">
        <f>1.5*2.1</f>
        <v>3.1500000000000004</v>
      </c>
      <c r="G1070" s="124"/>
      <c r="H1070" s="124">
        <f t="shared" ref="H1070:H1076" si="280">TRUNC((G1070*(1+$I$12)),2)</f>
        <v>0</v>
      </c>
      <c r="I1070" s="124">
        <f t="shared" ref="I1070:I1076" si="281">ROUND((F1070*H1070),2)</f>
        <v>0</v>
      </c>
      <c r="J1070" s="81" t="e">
        <f t="shared" ref="J1070:J1076" si="282">(I1070/$I$1421)</f>
        <v>#DIV/0!</v>
      </c>
    </row>
    <row r="1071" spans="1:11" s="157" customFormat="1" ht="31.5" customHeight="1" outlineLevel="1">
      <c r="A1071" s="103" t="s">
        <v>1464</v>
      </c>
      <c r="B1071" s="63">
        <v>100983</v>
      </c>
      <c r="C1071" s="63" t="s">
        <v>18</v>
      </c>
      <c r="D1071" s="65" t="s">
        <v>1896</v>
      </c>
      <c r="E1071" s="66" t="s">
        <v>218</v>
      </c>
      <c r="F1071" s="64">
        <f>F1070*0.05</f>
        <v>0.15750000000000003</v>
      </c>
      <c r="G1071" s="350"/>
      <c r="H1071" s="350">
        <f t="shared" si="280"/>
        <v>0</v>
      </c>
      <c r="I1071" s="121">
        <f t="shared" si="281"/>
        <v>0</v>
      </c>
      <c r="J1071" s="349" t="e">
        <f t="shared" si="282"/>
        <v>#DIV/0!</v>
      </c>
    </row>
    <row r="1072" spans="1:11" s="157" customFormat="1" ht="27" outlineLevel="1">
      <c r="A1072" s="103" t="s">
        <v>1465</v>
      </c>
      <c r="B1072" s="63">
        <v>95875</v>
      </c>
      <c r="C1072" s="63" t="s">
        <v>18</v>
      </c>
      <c r="D1072" s="65" t="s">
        <v>1898</v>
      </c>
      <c r="E1072" s="66" t="s">
        <v>1897</v>
      </c>
      <c r="F1072" s="64">
        <f>F1071*4</f>
        <v>0.63000000000000012</v>
      </c>
      <c r="G1072" s="350"/>
      <c r="H1072" s="350">
        <f t="shared" si="280"/>
        <v>0</v>
      </c>
      <c r="I1072" s="121">
        <f t="shared" si="281"/>
        <v>0</v>
      </c>
      <c r="J1072" s="349" t="e">
        <f t="shared" si="282"/>
        <v>#DIV/0!</v>
      </c>
    </row>
    <row r="1073" spans="1:11" s="157" customFormat="1" outlineLevel="1">
      <c r="A1073" s="103" t="s">
        <v>1466</v>
      </c>
      <c r="B1073" s="63" t="s">
        <v>10</v>
      </c>
      <c r="C1073" s="63" t="str">
        <f>[1]Composições!$I$114</f>
        <v>COMP08</v>
      </c>
      <c r="D1073" s="65" t="str">
        <f>[1]Composições!$B$114</f>
        <v>REQUADRO DE PORTAS E JANELAS</v>
      </c>
      <c r="E1073" s="66" t="s">
        <v>116</v>
      </c>
      <c r="F1073" s="80">
        <f>(1.5*0.15)+(1.5*0.15*2)</f>
        <v>0.67499999999999993</v>
      </c>
      <c r="G1073" s="124"/>
      <c r="H1073" s="124">
        <f t="shared" si="280"/>
        <v>0</v>
      </c>
      <c r="I1073" s="124">
        <f t="shared" si="281"/>
        <v>0</v>
      </c>
      <c r="J1073" s="81" t="e">
        <f t="shared" si="282"/>
        <v>#DIV/0!</v>
      </c>
    </row>
    <row r="1074" spans="1:11" s="157" customFormat="1" outlineLevel="1">
      <c r="A1074" s="103" t="s">
        <v>1467</v>
      </c>
      <c r="B1074" s="63" t="s">
        <v>885</v>
      </c>
      <c r="C1074" s="63" t="s">
        <v>7</v>
      </c>
      <c r="D1074" s="65" t="s">
        <v>891</v>
      </c>
      <c r="E1074" s="66" t="s">
        <v>116</v>
      </c>
      <c r="F1074" s="64">
        <f>F1070</f>
        <v>3.1500000000000004</v>
      </c>
      <c r="G1074" s="249"/>
      <c r="H1074" s="249">
        <f t="shared" si="280"/>
        <v>0</v>
      </c>
      <c r="I1074" s="124">
        <f t="shared" si="281"/>
        <v>0</v>
      </c>
      <c r="J1074" s="81" t="e">
        <f t="shared" si="282"/>
        <v>#DIV/0!</v>
      </c>
    </row>
    <row r="1075" spans="1:11" s="157" customFormat="1" outlineLevel="1">
      <c r="A1075" s="103" t="s">
        <v>1468</v>
      </c>
      <c r="B1075" s="63" t="s">
        <v>886</v>
      </c>
      <c r="C1075" s="63" t="s">
        <v>7</v>
      </c>
      <c r="D1075" s="65" t="s">
        <v>887</v>
      </c>
      <c r="E1075" s="66" t="s">
        <v>118</v>
      </c>
      <c r="F1075" s="64">
        <v>1</v>
      </c>
      <c r="G1075" s="249"/>
      <c r="H1075" s="249">
        <f t="shared" si="280"/>
        <v>0</v>
      </c>
      <c r="I1075" s="124">
        <f t="shared" si="281"/>
        <v>0</v>
      </c>
      <c r="J1075" s="81" t="e">
        <f t="shared" si="282"/>
        <v>#DIV/0!</v>
      </c>
    </row>
    <row r="1076" spans="1:11" s="157" customFormat="1" outlineLevel="1">
      <c r="A1076" s="103" t="s">
        <v>1899</v>
      </c>
      <c r="B1076" s="63" t="s">
        <v>889</v>
      </c>
      <c r="C1076" s="63" t="s">
        <v>7</v>
      </c>
      <c r="D1076" s="65" t="s">
        <v>888</v>
      </c>
      <c r="E1076" s="66" t="s">
        <v>118</v>
      </c>
      <c r="F1076" s="64">
        <v>1</v>
      </c>
      <c r="G1076" s="249"/>
      <c r="H1076" s="249">
        <f t="shared" si="280"/>
        <v>0</v>
      </c>
      <c r="I1076" s="124">
        <f t="shared" si="281"/>
        <v>0</v>
      </c>
      <c r="J1076" s="81" t="e">
        <f t="shared" si="282"/>
        <v>#DIV/0!</v>
      </c>
    </row>
    <row r="1077" spans="1:11" s="157" customFormat="1">
      <c r="A1077" s="378" t="s">
        <v>1469</v>
      </c>
      <c r="B1077" s="378"/>
      <c r="C1077" s="378"/>
      <c r="D1077" s="378"/>
      <c r="E1077" s="378"/>
      <c r="F1077" s="378"/>
      <c r="G1077" s="378"/>
      <c r="H1077" s="378"/>
      <c r="I1077" s="177">
        <f>SUM(I1070:I1076)</f>
        <v>0</v>
      </c>
      <c r="J1077" s="144" t="e">
        <f>SUM(J1070:J1076)</f>
        <v>#DIV/0!</v>
      </c>
      <c r="K1077" s="318" t="e">
        <f>I1077/$I$1112</f>
        <v>#DIV/0!</v>
      </c>
    </row>
    <row r="1078" spans="1:11" ht="15.95" customHeight="1">
      <c r="A1078" s="61" t="s">
        <v>1472</v>
      </c>
      <c r="B1078" s="148"/>
      <c r="C1078" s="148"/>
      <c r="D1078" s="143" t="s">
        <v>794</v>
      </c>
      <c r="E1078" s="384"/>
      <c r="F1078" s="385"/>
      <c r="G1078" s="385"/>
      <c r="H1078" s="385"/>
      <c r="I1078" s="385"/>
      <c r="J1078" s="386"/>
    </row>
    <row r="1079" spans="1:11" s="157" customFormat="1" ht="27" customHeight="1" outlineLevel="1">
      <c r="A1079" s="63" t="s">
        <v>1473</v>
      </c>
      <c r="B1079" s="5">
        <v>96527</v>
      </c>
      <c r="C1079" s="101" t="s">
        <v>18</v>
      </c>
      <c r="D1079" s="106" t="s">
        <v>1470</v>
      </c>
      <c r="E1079" s="66" t="s">
        <v>218</v>
      </c>
      <c r="F1079" s="64">
        <f>(F1082*0.35*0.3)+(0.3*0.35*40)</f>
        <v>10.605</v>
      </c>
      <c r="G1079" s="249"/>
      <c r="H1079" s="249">
        <f>TRUNC((G1079*(1+$I$12)),2)</f>
        <v>0</v>
      </c>
      <c r="I1079" s="249">
        <f t="shared" ref="I1079:I1084" si="283">ROUND((F1079*H1079),2)</f>
        <v>0</v>
      </c>
      <c r="J1079" s="248" t="e">
        <f t="shared" ref="J1079:J1084" si="284">(I1079/$I$1421)</f>
        <v>#DIV/0!</v>
      </c>
    </row>
    <row r="1080" spans="1:11" s="157" customFormat="1" ht="40.5" outlineLevel="1">
      <c r="A1080" s="63" t="s">
        <v>1474</v>
      </c>
      <c r="B1080" s="63">
        <v>100983</v>
      </c>
      <c r="C1080" s="63" t="s">
        <v>18</v>
      </c>
      <c r="D1080" s="65" t="s">
        <v>1896</v>
      </c>
      <c r="E1080" s="66" t="s">
        <v>218</v>
      </c>
      <c r="F1080" s="64">
        <f>F1079*1.3</f>
        <v>13.7865</v>
      </c>
      <c r="G1080" s="350"/>
      <c r="H1080" s="350">
        <f t="shared" ref="H1080:H1082" si="285">TRUNC((G1080*(1+$I$12)),2)</f>
        <v>0</v>
      </c>
      <c r="I1080" s="121">
        <f t="shared" si="283"/>
        <v>0</v>
      </c>
      <c r="J1080" s="349" t="e">
        <f t="shared" si="284"/>
        <v>#DIV/0!</v>
      </c>
    </row>
    <row r="1081" spans="1:11" s="157" customFormat="1" ht="27" outlineLevel="1">
      <c r="A1081" s="63" t="s">
        <v>1475</v>
      </c>
      <c r="B1081" s="63">
        <v>95875</v>
      </c>
      <c r="C1081" s="63" t="s">
        <v>18</v>
      </c>
      <c r="D1081" s="65" t="s">
        <v>1898</v>
      </c>
      <c r="E1081" s="66" t="s">
        <v>1897</v>
      </c>
      <c r="F1081" s="64">
        <f>F1080*4</f>
        <v>55.146000000000001</v>
      </c>
      <c r="G1081" s="350"/>
      <c r="H1081" s="350">
        <f t="shared" si="285"/>
        <v>0</v>
      </c>
      <c r="I1081" s="121">
        <f t="shared" si="283"/>
        <v>0</v>
      </c>
      <c r="J1081" s="349" t="e">
        <f t="shared" si="284"/>
        <v>#DIV/0!</v>
      </c>
    </row>
    <row r="1082" spans="1:11" s="157" customFormat="1" ht="27" outlineLevel="1">
      <c r="A1082" s="63" t="s">
        <v>1476</v>
      </c>
      <c r="B1082" s="5" t="s">
        <v>10</v>
      </c>
      <c r="C1082" s="5" t="str">
        <f>[1]Composições!$I$168</f>
        <v>COMP15</v>
      </c>
      <c r="D1082" s="106" t="str">
        <f>[1]Composições!$B$168</f>
        <v>EXECUÇÃO DE CANALETA DE ESCOAMENTO DE ÁGUAS PLUVIAIS, COM PAREDES EM BLOCOS DE CONCRETO GRAUTEADOS, INCLUSO MASSA ÚNICA E CONCRETAGEM DE FUNDO</v>
      </c>
      <c r="E1082" s="66" t="s">
        <v>115</v>
      </c>
      <c r="F1082" s="80">
        <v>61</v>
      </c>
      <c r="G1082" s="124"/>
      <c r="H1082" s="350">
        <f t="shared" si="285"/>
        <v>0</v>
      </c>
      <c r="I1082" s="249">
        <f t="shared" si="283"/>
        <v>0</v>
      </c>
      <c r="J1082" s="248" t="e">
        <f t="shared" si="284"/>
        <v>#DIV/0!</v>
      </c>
    </row>
    <row r="1083" spans="1:11" s="157" customFormat="1" ht="15.95" customHeight="1" outlineLevel="1">
      <c r="A1083" s="63" t="s">
        <v>1477</v>
      </c>
      <c r="B1083" s="63" t="s">
        <v>166</v>
      </c>
      <c r="C1083" s="63" t="s">
        <v>9</v>
      </c>
      <c r="D1083" s="65" t="s">
        <v>795</v>
      </c>
      <c r="E1083" s="66" t="s">
        <v>115</v>
      </c>
      <c r="F1083" s="64">
        <v>61</v>
      </c>
      <c r="G1083" s="249" t="s">
        <v>10</v>
      </c>
      <c r="H1083" s="249"/>
      <c r="I1083" s="249">
        <f t="shared" si="283"/>
        <v>0</v>
      </c>
      <c r="J1083" s="248" t="e">
        <f t="shared" si="284"/>
        <v>#DIV/0!</v>
      </c>
    </row>
    <row r="1084" spans="1:11" s="157" customFormat="1" ht="27" outlineLevel="1">
      <c r="A1084" s="63" t="s">
        <v>1946</v>
      </c>
      <c r="B1084" s="63">
        <v>89512</v>
      </c>
      <c r="C1084" s="63" t="s">
        <v>18</v>
      </c>
      <c r="D1084" s="65" t="s">
        <v>1471</v>
      </c>
      <c r="E1084" s="66" t="s">
        <v>115</v>
      </c>
      <c r="F1084" s="64">
        <v>40</v>
      </c>
      <c r="G1084" s="124"/>
      <c r="H1084" s="376">
        <f t="shared" ref="H1084" si="286">TRUNC((G1084*(1+$I$12)),2)</f>
        <v>0</v>
      </c>
      <c r="I1084" s="249">
        <f t="shared" si="283"/>
        <v>0</v>
      </c>
      <c r="J1084" s="248" t="e">
        <f t="shared" si="284"/>
        <v>#DIV/0!</v>
      </c>
    </row>
    <row r="1085" spans="1:11" s="100" customFormat="1">
      <c r="A1085" s="378" t="s">
        <v>1478</v>
      </c>
      <c r="B1085" s="378"/>
      <c r="C1085" s="378"/>
      <c r="D1085" s="378"/>
      <c r="E1085" s="378"/>
      <c r="F1085" s="378"/>
      <c r="G1085" s="378"/>
      <c r="H1085" s="378"/>
      <c r="I1085" s="177">
        <f>SUM(I1079:I1084)</f>
        <v>0</v>
      </c>
      <c r="J1085" s="144" t="e">
        <f>SUM(J1079:J1084)</f>
        <v>#DIV/0!</v>
      </c>
      <c r="K1085" s="318" t="e">
        <f>I1085/$I$1112</f>
        <v>#DIV/0!</v>
      </c>
    </row>
    <row r="1086" spans="1:11" ht="15.95" customHeight="1">
      <c r="A1086" s="61" t="s">
        <v>1480</v>
      </c>
      <c r="B1086" s="148"/>
      <c r="C1086" s="148"/>
      <c r="D1086" s="143" t="s">
        <v>1484</v>
      </c>
      <c r="E1086" s="384"/>
      <c r="F1086" s="385"/>
      <c r="G1086" s="385"/>
      <c r="H1086" s="385"/>
      <c r="I1086" s="385"/>
      <c r="J1086" s="386"/>
    </row>
    <row r="1087" spans="1:11" s="71" customFormat="1" outlineLevel="1">
      <c r="A1087" s="63" t="s">
        <v>1481</v>
      </c>
      <c r="B1087" s="63" t="s">
        <v>261</v>
      </c>
      <c r="C1087" s="63" t="s">
        <v>9</v>
      </c>
      <c r="D1087" s="272" t="s">
        <v>262</v>
      </c>
      <c r="E1087" s="273" t="s">
        <v>117</v>
      </c>
      <c r="F1087" s="273">
        <v>202.24</v>
      </c>
      <c r="G1087" s="274" t="s">
        <v>10</v>
      </c>
      <c r="H1087" s="274"/>
      <c r="I1087" s="275">
        <f>TRUNC((F1087*H1087),2)</f>
        <v>0</v>
      </c>
      <c r="J1087" s="248" t="e">
        <f>(I1087/$I$1421)</f>
        <v>#DIV/0!</v>
      </c>
    </row>
    <row r="1088" spans="1:11" s="157" customFormat="1" ht="40.5" outlineLevel="1">
      <c r="A1088" s="63" t="s">
        <v>1482</v>
      </c>
      <c r="B1088" s="63">
        <v>100983</v>
      </c>
      <c r="C1088" s="63" t="s">
        <v>18</v>
      </c>
      <c r="D1088" s="65" t="s">
        <v>1896</v>
      </c>
      <c r="E1088" s="66" t="s">
        <v>218</v>
      </c>
      <c r="F1088" s="64">
        <f>(F1087*0.05)*1.3</f>
        <v>13.145600000000004</v>
      </c>
      <c r="G1088" s="350"/>
      <c r="H1088" s="350">
        <f t="shared" ref="H1088:H1089" si="287">TRUNC((G1088*(1+$I$12)),2)</f>
        <v>0</v>
      </c>
      <c r="I1088" s="121">
        <f t="shared" ref="I1088:I1089" si="288">ROUND((F1088*H1088),2)</f>
        <v>0</v>
      </c>
      <c r="J1088" s="349" t="e">
        <f>(I1088/$I$1421)</f>
        <v>#DIV/0!</v>
      </c>
    </row>
    <row r="1089" spans="1:11" s="157" customFormat="1" ht="27" outlineLevel="1">
      <c r="A1089" s="63" t="s">
        <v>1483</v>
      </c>
      <c r="B1089" s="63">
        <v>95875</v>
      </c>
      <c r="C1089" s="63" t="s">
        <v>18</v>
      </c>
      <c r="D1089" s="65" t="s">
        <v>1898</v>
      </c>
      <c r="E1089" s="66" t="s">
        <v>1897</v>
      </c>
      <c r="F1089" s="64">
        <f>F1088*4</f>
        <v>52.582400000000014</v>
      </c>
      <c r="G1089" s="350"/>
      <c r="H1089" s="350">
        <f t="shared" si="287"/>
        <v>0</v>
      </c>
      <c r="I1089" s="121">
        <f t="shared" si="288"/>
        <v>0</v>
      </c>
      <c r="J1089" s="349" t="e">
        <f>(I1089/$I$1421)</f>
        <v>#DIV/0!</v>
      </c>
    </row>
    <row r="1090" spans="1:11" s="157" customFormat="1" ht="40.5" outlineLevel="1">
      <c r="A1090" s="63" t="s">
        <v>1947</v>
      </c>
      <c r="B1090" s="101">
        <v>102363</v>
      </c>
      <c r="C1090" s="101" t="s">
        <v>18</v>
      </c>
      <c r="D1090" s="102" t="s">
        <v>1485</v>
      </c>
      <c r="E1090" s="86" t="s">
        <v>116</v>
      </c>
      <c r="F1090" s="80">
        <f>101.12*2</f>
        <v>202.24</v>
      </c>
      <c r="G1090" s="124"/>
      <c r="H1090" s="124">
        <f>TRUNC((G1090*(1+$I$12)),2)</f>
        <v>0</v>
      </c>
      <c r="I1090" s="275">
        <f t="shared" ref="I1090" si="289">TRUNC((F1090*H1090),2)</f>
        <v>0</v>
      </c>
      <c r="J1090" s="248" t="e">
        <f>(I1090/$I$1421)</f>
        <v>#DIV/0!</v>
      </c>
    </row>
    <row r="1091" spans="1:11" s="100" customFormat="1">
      <c r="A1091" s="378" t="s">
        <v>1488</v>
      </c>
      <c r="B1091" s="378"/>
      <c r="C1091" s="378"/>
      <c r="D1091" s="378"/>
      <c r="E1091" s="378"/>
      <c r="F1091" s="378"/>
      <c r="G1091" s="378"/>
      <c r="H1091" s="378"/>
      <c r="I1091" s="177">
        <f>SUM(I1087:I1090)</f>
        <v>0</v>
      </c>
      <c r="J1091" s="144" t="e">
        <f>SUM(J1087:J1090)</f>
        <v>#DIV/0!</v>
      </c>
      <c r="K1091" s="318" t="e">
        <f>I1091/$I$1112</f>
        <v>#DIV/0!</v>
      </c>
    </row>
    <row r="1092" spans="1:11" ht="15.95" customHeight="1">
      <c r="A1092" s="61" t="s">
        <v>1486</v>
      </c>
      <c r="B1092" s="148"/>
      <c r="C1092" s="148"/>
      <c r="D1092" s="143" t="s">
        <v>1513</v>
      </c>
      <c r="E1092" s="384"/>
      <c r="F1092" s="385"/>
      <c r="G1092" s="385"/>
      <c r="H1092" s="385"/>
      <c r="I1092" s="385"/>
      <c r="J1092" s="386"/>
    </row>
    <row r="1093" spans="1:11" s="100" customFormat="1" ht="32.25" customHeight="1" outlineLevel="1">
      <c r="A1093" s="103" t="s">
        <v>1514</v>
      </c>
      <c r="B1093" s="67">
        <v>97622</v>
      </c>
      <c r="C1093" s="67" t="s">
        <v>18</v>
      </c>
      <c r="D1093" s="65" t="s">
        <v>24</v>
      </c>
      <c r="E1093" s="66" t="s">
        <v>116</v>
      </c>
      <c r="F1093" s="230">
        <f>(0.015*1.1)*18</f>
        <v>0.29700000000000004</v>
      </c>
      <c r="G1093" s="188"/>
      <c r="H1093" s="249">
        <f t="shared" ref="H1093:H1095" si="290">TRUNC((G1093*(1+$I$12)),2)</f>
        <v>0</v>
      </c>
      <c r="I1093" s="249">
        <f t="shared" ref="I1093:I1100" si="291">ROUND((F1093*H1093),2)</f>
        <v>0</v>
      </c>
      <c r="J1093" s="81" t="e">
        <f t="shared" ref="J1093:J1100" si="292">(I1093/$I$1421)</f>
        <v>#DIV/0!</v>
      </c>
    </row>
    <row r="1094" spans="1:11" s="166" customFormat="1" ht="40.5" outlineLevel="1">
      <c r="A1094" s="103" t="s">
        <v>1515</v>
      </c>
      <c r="B1094" s="63">
        <v>100983</v>
      </c>
      <c r="C1094" s="63" t="s">
        <v>18</v>
      </c>
      <c r="D1094" s="65" t="s">
        <v>1896</v>
      </c>
      <c r="E1094" s="66" t="s">
        <v>218</v>
      </c>
      <c r="F1094" s="64">
        <f>F1093*1.3</f>
        <v>0.38610000000000005</v>
      </c>
      <c r="G1094" s="350"/>
      <c r="H1094" s="350">
        <f t="shared" si="290"/>
        <v>0</v>
      </c>
      <c r="I1094" s="121">
        <f t="shared" si="291"/>
        <v>0</v>
      </c>
      <c r="J1094" s="349" t="e">
        <f t="shared" si="292"/>
        <v>#DIV/0!</v>
      </c>
    </row>
    <row r="1095" spans="1:11" s="166" customFormat="1" ht="27" outlineLevel="1">
      <c r="A1095" s="103" t="s">
        <v>1516</v>
      </c>
      <c r="B1095" s="63">
        <v>95875</v>
      </c>
      <c r="C1095" s="63" t="s">
        <v>18</v>
      </c>
      <c r="D1095" s="65" t="s">
        <v>1898</v>
      </c>
      <c r="E1095" s="66" t="s">
        <v>1897</v>
      </c>
      <c r="F1095" s="64">
        <f>F1094*4</f>
        <v>1.5444000000000002</v>
      </c>
      <c r="G1095" s="350"/>
      <c r="H1095" s="350">
        <f t="shared" si="290"/>
        <v>0</v>
      </c>
      <c r="I1095" s="121">
        <f t="shared" si="291"/>
        <v>0</v>
      </c>
      <c r="J1095" s="349" t="e">
        <f t="shared" si="292"/>
        <v>#DIV/0!</v>
      </c>
    </row>
    <row r="1096" spans="1:11" s="157" customFormat="1" ht="27" outlineLevel="1">
      <c r="A1096" s="103" t="s">
        <v>1517</v>
      </c>
      <c r="B1096" s="63" t="s">
        <v>10</v>
      </c>
      <c r="C1096" s="63" t="str">
        <f>[1]Composições!$I$136</f>
        <v>COMP11</v>
      </c>
      <c r="D1096" s="65" t="str">
        <f>[1]Composições!$B$136</f>
        <v>ESTACA BROCA DE CONCRETO, DIÂMETRO DE 25CM, ESCAVAÇÃO MANUAL COM TRADO CONCHA, INTEIRAMENTE ARMADA, INCLUSO CONCRETAGEM FCK 25 MPA. AF_05/2020</v>
      </c>
      <c r="E1096" s="66" t="s">
        <v>115</v>
      </c>
      <c r="F1096" s="64">
        <f>19*6</f>
        <v>114</v>
      </c>
      <c r="G1096" s="337"/>
      <c r="H1096" s="337">
        <f t="shared" ref="H1096:H1100" si="293">TRUNC((G1096*(1+$I$12)),2)</f>
        <v>0</v>
      </c>
      <c r="I1096" s="337">
        <f t="shared" si="291"/>
        <v>0</v>
      </c>
      <c r="J1096" s="81" t="e">
        <f t="shared" si="292"/>
        <v>#DIV/0!</v>
      </c>
    </row>
    <row r="1097" spans="1:11" s="157" customFormat="1" ht="27" outlineLevel="1">
      <c r="A1097" s="103" t="s">
        <v>1518</v>
      </c>
      <c r="B1097" s="63">
        <v>96523</v>
      </c>
      <c r="C1097" s="63" t="s">
        <v>18</v>
      </c>
      <c r="D1097" s="65" t="s">
        <v>1432</v>
      </c>
      <c r="E1097" s="66" t="s">
        <v>218</v>
      </c>
      <c r="F1097" s="64">
        <v>1.68</v>
      </c>
      <c r="G1097" s="337"/>
      <c r="H1097" s="337">
        <f t="shared" si="293"/>
        <v>0</v>
      </c>
      <c r="I1097" s="337">
        <f t="shared" si="291"/>
        <v>0</v>
      </c>
      <c r="J1097" s="81" t="e">
        <f t="shared" si="292"/>
        <v>#DIV/0!</v>
      </c>
    </row>
    <row r="1098" spans="1:11" s="157" customFormat="1" ht="27" outlineLevel="1">
      <c r="A1098" s="103" t="s">
        <v>1519</v>
      </c>
      <c r="B1098" s="63">
        <v>96531</v>
      </c>
      <c r="C1098" s="63" t="s">
        <v>18</v>
      </c>
      <c r="D1098" s="65" t="s">
        <v>1433</v>
      </c>
      <c r="E1098" s="66" t="s">
        <v>116</v>
      </c>
      <c r="F1098" s="64">
        <v>7.7</v>
      </c>
      <c r="G1098" s="337"/>
      <c r="H1098" s="337">
        <f t="shared" si="293"/>
        <v>0</v>
      </c>
      <c r="I1098" s="337">
        <f t="shared" si="291"/>
        <v>0</v>
      </c>
      <c r="J1098" s="81" t="e">
        <f t="shared" si="292"/>
        <v>#DIV/0!</v>
      </c>
      <c r="K1098" s="157">
        <f>(2*7.56)+(2*7.29)</f>
        <v>29.7</v>
      </c>
    </row>
    <row r="1099" spans="1:11" s="157" customFormat="1" ht="27" outlineLevel="1">
      <c r="A1099" s="103" t="s">
        <v>1522</v>
      </c>
      <c r="B1099" s="63">
        <v>96545</v>
      </c>
      <c r="C1099" s="63" t="s">
        <v>18</v>
      </c>
      <c r="D1099" s="65" t="s">
        <v>267</v>
      </c>
      <c r="E1099" s="66" t="s">
        <v>117</v>
      </c>
      <c r="F1099" s="64">
        <v>92.4</v>
      </c>
      <c r="G1099" s="337"/>
      <c r="H1099" s="337">
        <f t="shared" si="293"/>
        <v>0</v>
      </c>
      <c r="I1099" s="337">
        <f t="shared" si="291"/>
        <v>0</v>
      </c>
      <c r="J1099" s="81" t="e">
        <f t="shared" si="292"/>
        <v>#DIV/0!</v>
      </c>
    </row>
    <row r="1100" spans="1:11" s="157" customFormat="1" ht="27" outlineLevel="1">
      <c r="A1100" s="103" t="s">
        <v>1523</v>
      </c>
      <c r="B1100" s="63" t="s">
        <v>10</v>
      </c>
      <c r="C1100" s="63" t="str">
        <f>[1]Composições!$I$146</f>
        <v>COMP12</v>
      </c>
      <c r="D1100" s="65" t="str">
        <f>[1]Composições!$B$146</f>
        <v>CONCRETAGEM DE BLOCOS DE COROAMENTO E VIGAS BALDRAME, FCK 25 MPA, INCLUSO LANÇAMENTO, ADENSAMENTO E ACABAMENTO. AF_06/2017</v>
      </c>
      <c r="E1100" s="66" t="s">
        <v>218</v>
      </c>
      <c r="F1100" s="64">
        <v>1.68</v>
      </c>
      <c r="G1100" s="337"/>
      <c r="H1100" s="337">
        <f t="shared" si="293"/>
        <v>0</v>
      </c>
      <c r="I1100" s="337">
        <f t="shared" si="291"/>
        <v>0</v>
      </c>
      <c r="J1100" s="81" t="e">
        <f t="shared" si="292"/>
        <v>#DIV/0!</v>
      </c>
      <c r="K1100" s="157">
        <f>((122.22*0.3*2)+(122.22*0.15))/4</f>
        <v>22.916249999999998</v>
      </c>
    </row>
    <row r="1101" spans="1:11" s="157" customFormat="1">
      <c r="A1101" s="378" t="s">
        <v>1487</v>
      </c>
      <c r="B1101" s="378"/>
      <c r="C1101" s="378"/>
      <c r="D1101" s="378"/>
      <c r="E1101" s="378"/>
      <c r="F1101" s="378"/>
      <c r="G1101" s="378"/>
      <c r="H1101" s="378"/>
      <c r="I1101" s="177">
        <f>SUM(I1093:I1100)</f>
        <v>0</v>
      </c>
      <c r="J1101" s="144" t="e">
        <f>SUM(J1093:J1100)</f>
        <v>#DIV/0!</v>
      </c>
      <c r="K1101" s="318" t="e">
        <f>I1101/$I$1112</f>
        <v>#DIV/0!</v>
      </c>
    </row>
    <row r="1102" spans="1:11" ht="15.95" customHeight="1">
      <c r="A1102" s="61" t="s">
        <v>1527</v>
      </c>
      <c r="B1102" s="148"/>
      <c r="C1102" s="148"/>
      <c r="D1102" s="143" t="s">
        <v>1525</v>
      </c>
      <c r="E1102" s="384"/>
      <c r="F1102" s="385"/>
      <c r="G1102" s="385"/>
      <c r="H1102" s="385"/>
      <c r="I1102" s="385"/>
      <c r="J1102" s="386"/>
    </row>
    <row r="1103" spans="1:11" s="157" customFormat="1" ht="15.95" customHeight="1" outlineLevel="1">
      <c r="A1103" s="63" t="s">
        <v>1528</v>
      </c>
      <c r="B1103" s="5" t="s">
        <v>127</v>
      </c>
      <c r="C1103" s="5" t="s">
        <v>7</v>
      </c>
      <c r="D1103" s="129" t="s">
        <v>128</v>
      </c>
      <c r="E1103" s="66" t="s">
        <v>218</v>
      </c>
      <c r="F1103" s="64">
        <f>105.82*0.1</f>
        <v>10.582000000000001</v>
      </c>
      <c r="G1103" s="249"/>
      <c r="H1103" s="249">
        <f t="shared" ref="H1103:H1110" si="294">TRUNC((G1103*(1+$I$12)),2)</f>
        <v>0</v>
      </c>
      <c r="I1103" s="249">
        <f t="shared" ref="I1103:I1110" si="295">ROUND((F1103*H1103),2)</f>
        <v>0</v>
      </c>
      <c r="J1103" s="248" t="e">
        <f t="shared" ref="J1103:J1110" si="296">(I1103/$I$1421)</f>
        <v>#DIV/0!</v>
      </c>
    </row>
    <row r="1104" spans="1:11" s="157" customFormat="1" ht="40.5" outlineLevel="1">
      <c r="A1104" s="63" t="s">
        <v>1529</v>
      </c>
      <c r="B1104" s="63">
        <v>100983</v>
      </c>
      <c r="C1104" s="63" t="s">
        <v>18</v>
      </c>
      <c r="D1104" s="65" t="s">
        <v>1896</v>
      </c>
      <c r="E1104" s="66" t="s">
        <v>218</v>
      </c>
      <c r="F1104" s="64">
        <f>F1103*1.3</f>
        <v>13.756600000000001</v>
      </c>
      <c r="G1104" s="350"/>
      <c r="H1104" s="350">
        <f t="shared" si="294"/>
        <v>0</v>
      </c>
      <c r="I1104" s="121">
        <f t="shared" si="295"/>
        <v>0</v>
      </c>
      <c r="J1104" s="349" t="e">
        <f t="shared" si="296"/>
        <v>#DIV/0!</v>
      </c>
    </row>
    <row r="1105" spans="1:11" s="157" customFormat="1" ht="27" outlineLevel="1">
      <c r="A1105" s="63" t="s">
        <v>1530</v>
      </c>
      <c r="B1105" s="63">
        <v>95875</v>
      </c>
      <c r="C1105" s="63" t="s">
        <v>18</v>
      </c>
      <c r="D1105" s="65" t="s">
        <v>1898</v>
      </c>
      <c r="E1105" s="66" t="s">
        <v>1897</v>
      </c>
      <c r="F1105" s="64">
        <f>F1104*4</f>
        <v>55.026400000000002</v>
      </c>
      <c r="G1105" s="350"/>
      <c r="H1105" s="350">
        <f t="shared" si="294"/>
        <v>0</v>
      </c>
      <c r="I1105" s="121">
        <f t="shared" si="295"/>
        <v>0</v>
      </c>
      <c r="J1105" s="349" t="e">
        <f t="shared" si="296"/>
        <v>#DIV/0!</v>
      </c>
    </row>
    <row r="1106" spans="1:11" s="157" customFormat="1" ht="27" outlineLevel="1">
      <c r="A1106" s="63" t="s">
        <v>1531</v>
      </c>
      <c r="B1106" s="63">
        <v>97084</v>
      </c>
      <c r="C1106" s="63" t="s">
        <v>18</v>
      </c>
      <c r="D1106" s="65" t="s">
        <v>791</v>
      </c>
      <c r="E1106" s="68" t="s">
        <v>116</v>
      </c>
      <c r="F1106" s="64">
        <v>105.82</v>
      </c>
      <c r="G1106" s="249"/>
      <c r="H1106" s="249">
        <f t="shared" si="294"/>
        <v>0</v>
      </c>
      <c r="I1106" s="249">
        <f t="shared" si="295"/>
        <v>0</v>
      </c>
      <c r="J1106" s="248" t="e">
        <f t="shared" si="296"/>
        <v>#DIV/0!</v>
      </c>
    </row>
    <row r="1107" spans="1:11" s="100" customFormat="1" ht="27" outlineLevel="1">
      <c r="A1107" s="63" t="s">
        <v>1532</v>
      </c>
      <c r="B1107" s="128">
        <v>96622</v>
      </c>
      <c r="C1107" s="128" t="s">
        <v>18</v>
      </c>
      <c r="D1107" s="82" t="s">
        <v>1895</v>
      </c>
      <c r="E1107" s="88" t="s">
        <v>218</v>
      </c>
      <c r="F1107" s="75">
        <f>F1106*0.05</f>
        <v>5.2910000000000004</v>
      </c>
      <c r="G1107" s="145"/>
      <c r="H1107" s="84">
        <f t="shared" si="294"/>
        <v>0</v>
      </c>
      <c r="I1107" s="249">
        <f t="shared" si="295"/>
        <v>0</v>
      </c>
      <c r="J1107" s="248" t="e">
        <f t="shared" si="296"/>
        <v>#DIV/0!</v>
      </c>
    </row>
    <row r="1108" spans="1:11" s="100" customFormat="1" ht="27" outlineLevel="1">
      <c r="A1108" s="63" t="s">
        <v>1533</v>
      </c>
      <c r="B1108" s="63">
        <v>94993</v>
      </c>
      <c r="C1108" s="63" t="s">
        <v>18</v>
      </c>
      <c r="D1108" s="65" t="s">
        <v>790</v>
      </c>
      <c r="E1108" s="68" t="s">
        <v>116</v>
      </c>
      <c r="F1108" s="64">
        <v>105.82</v>
      </c>
      <c r="G1108" s="252"/>
      <c r="H1108" s="249">
        <f t="shared" si="294"/>
        <v>0</v>
      </c>
      <c r="I1108" s="249">
        <f t="shared" si="295"/>
        <v>0</v>
      </c>
      <c r="J1108" s="248" t="e">
        <f t="shared" si="296"/>
        <v>#DIV/0!</v>
      </c>
    </row>
    <row r="1109" spans="1:11" s="157" customFormat="1" ht="15.95" customHeight="1" outlineLevel="1">
      <c r="A1109" s="63" t="s">
        <v>1534</v>
      </c>
      <c r="B1109" s="5" t="s">
        <v>129</v>
      </c>
      <c r="C1109" s="5" t="s">
        <v>7</v>
      </c>
      <c r="D1109" s="106" t="s">
        <v>130</v>
      </c>
      <c r="E1109" s="68" t="s">
        <v>116</v>
      </c>
      <c r="F1109" s="64">
        <v>105.82</v>
      </c>
      <c r="G1109" s="252"/>
      <c r="H1109" s="249">
        <f t="shared" si="294"/>
        <v>0</v>
      </c>
      <c r="I1109" s="249">
        <f t="shared" si="295"/>
        <v>0</v>
      </c>
      <c r="J1109" s="248" t="e">
        <f t="shared" si="296"/>
        <v>#DIV/0!</v>
      </c>
    </row>
    <row r="1110" spans="1:11" s="157" customFormat="1" ht="27" outlineLevel="1">
      <c r="A1110" s="63" t="s">
        <v>1948</v>
      </c>
      <c r="B1110" s="5">
        <v>102491</v>
      </c>
      <c r="C1110" s="5" t="s">
        <v>18</v>
      </c>
      <c r="D1110" s="106" t="s">
        <v>788</v>
      </c>
      <c r="E1110" s="68" t="s">
        <v>116</v>
      </c>
      <c r="F1110" s="64">
        <v>105.82</v>
      </c>
      <c r="G1110" s="249"/>
      <c r="H1110" s="249">
        <f t="shared" si="294"/>
        <v>0</v>
      </c>
      <c r="I1110" s="249">
        <f t="shared" si="295"/>
        <v>0</v>
      </c>
      <c r="J1110" s="248" t="e">
        <f t="shared" si="296"/>
        <v>#DIV/0!</v>
      </c>
    </row>
    <row r="1111" spans="1:11" s="157" customFormat="1">
      <c r="A1111" s="378" t="s">
        <v>1526</v>
      </c>
      <c r="B1111" s="378"/>
      <c r="C1111" s="378"/>
      <c r="D1111" s="378"/>
      <c r="E1111" s="378"/>
      <c r="F1111" s="378"/>
      <c r="G1111" s="378"/>
      <c r="H1111" s="378"/>
      <c r="I1111" s="177">
        <f>SUM(I1103:I1110)</f>
        <v>0</v>
      </c>
      <c r="J1111" s="144" t="e">
        <f>SUM(J1103:J1110)</f>
        <v>#DIV/0!</v>
      </c>
      <c r="K1111" s="318" t="e">
        <f>I1111/$I$1112</f>
        <v>#DIV/0!</v>
      </c>
    </row>
    <row r="1112" spans="1:11" s="157" customFormat="1" collapsed="1">
      <c r="A1112" s="387" t="s">
        <v>1479</v>
      </c>
      <c r="B1112" s="387"/>
      <c r="C1112" s="387"/>
      <c r="D1112" s="387"/>
      <c r="E1112" s="387"/>
      <c r="F1112" s="387"/>
      <c r="G1112" s="387"/>
      <c r="H1112" s="387"/>
      <c r="I1112" s="175">
        <f>I1065+I1068+I1077+I1085+I1091+I1101+I1111</f>
        <v>0</v>
      </c>
      <c r="J1112" s="144" t="e">
        <f>J1065+J1068+J1077+J1085+J1091+J1101+J1111</f>
        <v>#DIV/0!</v>
      </c>
    </row>
    <row r="1113" spans="1:11" ht="16.5" customHeight="1">
      <c r="A1113" s="62" t="s">
        <v>19</v>
      </c>
      <c r="B1113" s="383"/>
      <c r="C1113" s="383"/>
      <c r="D1113" s="76" t="s">
        <v>25</v>
      </c>
      <c r="E1113" s="379"/>
      <c r="F1113" s="379"/>
      <c r="G1113" s="379"/>
      <c r="H1113" s="379"/>
      <c r="I1113" s="379"/>
      <c r="J1113" s="380"/>
    </row>
    <row r="1114" spans="1:11" ht="15" customHeight="1">
      <c r="A1114" s="70" t="s">
        <v>1413</v>
      </c>
      <c r="B1114" s="388"/>
      <c r="C1114" s="388"/>
      <c r="D1114" s="161" t="s">
        <v>1489</v>
      </c>
      <c r="E1114" s="389"/>
      <c r="F1114" s="389"/>
      <c r="G1114" s="389"/>
      <c r="H1114" s="389"/>
      <c r="I1114" s="389"/>
      <c r="J1114" s="389"/>
    </row>
    <row r="1115" spans="1:11" s="157" customFormat="1" ht="27" outlineLevel="1">
      <c r="A1115" s="103" t="s">
        <v>1414</v>
      </c>
      <c r="B1115" s="63" t="s">
        <v>1850</v>
      </c>
      <c r="C1115" s="63" t="s">
        <v>7</v>
      </c>
      <c r="D1115" s="65" t="s">
        <v>1849</v>
      </c>
      <c r="E1115" s="86" t="s">
        <v>116</v>
      </c>
      <c r="F1115" s="80">
        <v>868.36</v>
      </c>
      <c r="G1115" s="276"/>
      <c r="H1115" s="249">
        <f t="shared" ref="H1115" si="297">TRUNC((G1115*(1+$I$12)),2)</f>
        <v>0</v>
      </c>
      <c r="I1115" s="249">
        <f t="shared" ref="I1115:I1118" si="298">ROUND((F1115*H1115),2)</f>
        <v>0</v>
      </c>
      <c r="J1115" s="248" t="e">
        <f>(I1115/$I$1421)</f>
        <v>#DIV/0!</v>
      </c>
    </row>
    <row r="1116" spans="1:11" s="157" customFormat="1" ht="27" outlineLevel="1">
      <c r="A1116" s="103" t="s">
        <v>1415</v>
      </c>
      <c r="B1116" s="63" t="s">
        <v>30</v>
      </c>
      <c r="C1116" s="63" t="s">
        <v>7</v>
      </c>
      <c r="D1116" s="65" t="s">
        <v>136</v>
      </c>
      <c r="E1116" s="86" t="s">
        <v>115</v>
      </c>
      <c r="F1116" s="64">
        <v>77.95</v>
      </c>
      <c r="G1116" s="276"/>
      <c r="H1116" s="249">
        <f t="shared" ref="H1116" si="299">TRUNC((G1116*(1+$I$12)),2)</f>
        <v>0</v>
      </c>
      <c r="I1116" s="249">
        <f t="shared" si="298"/>
        <v>0</v>
      </c>
      <c r="J1116" s="248" t="e">
        <f>(I1116/$I$1421)</f>
        <v>#DIV/0!</v>
      </c>
    </row>
    <row r="1117" spans="1:11" s="157" customFormat="1" outlineLevel="1">
      <c r="A1117" s="103" t="s">
        <v>1416</v>
      </c>
      <c r="B1117" s="63" t="s">
        <v>29</v>
      </c>
      <c r="C1117" s="63" t="s">
        <v>7</v>
      </c>
      <c r="D1117" s="65" t="s">
        <v>784</v>
      </c>
      <c r="E1117" s="86" t="s">
        <v>117</v>
      </c>
      <c r="F1117" s="64">
        <f>F1115*9.97</f>
        <v>8657.5492000000013</v>
      </c>
      <c r="G1117" s="276"/>
      <c r="H1117" s="249">
        <f t="shared" ref="H1117" si="300">TRUNC((G1117*(1+$I$12)),2)</f>
        <v>0</v>
      </c>
      <c r="I1117" s="249">
        <f t="shared" si="298"/>
        <v>0</v>
      </c>
      <c r="J1117" s="248" t="e">
        <f>(I1117/$I$1421)</f>
        <v>#DIV/0!</v>
      </c>
    </row>
    <row r="1118" spans="1:11" s="100" customFormat="1" outlineLevel="1">
      <c r="A1118" s="103" t="s">
        <v>1417</v>
      </c>
      <c r="B1118" s="67" t="s">
        <v>1419</v>
      </c>
      <c r="C1118" s="67" t="s">
        <v>9</v>
      </c>
      <c r="D1118" s="277" t="s">
        <v>1418</v>
      </c>
      <c r="E1118" s="86" t="s">
        <v>116</v>
      </c>
      <c r="F1118" s="99">
        <f>F1115</f>
        <v>868.36</v>
      </c>
      <c r="G1118" s="278"/>
      <c r="H1118" s="249">
        <f t="shared" ref="H1118" si="301">TRUNC((G1118*(1+$I$12)),2)</f>
        <v>0</v>
      </c>
      <c r="I1118" s="249">
        <f t="shared" si="298"/>
        <v>0</v>
      </c>
      <c r="J1118" s="248" t="e">
        <f>(I1118/$I$1421)</f>
        <v>#DIV/0!</v>
      </c>
    </row>
    <row r="1119" spans="1:11" s="115" customFormat="1" ht="15.75" customHeight="1">
      <c r="A1119" s="378" t="s">
        <v>1493</v>
      </c>
      <c r="B1119" s="378"/>
      <c r="C1119" s="378"/>
      <c r="D1119" s="378"/>
      <c r="E1119" s="378"/>
      <c r="F1119" s="378"/>
      <c r="G1119" s="378"/>
      <c r="H1119" s="378"/>
      <c r="I1119" s="177">
        <f>SUM(I1115:I1118)</f>
        <v>0</v>
      </c>
      <c r="J1119" s="144" t="e">
        <f>SUM(J1115:J1118)</f>
        <v>#DIV/0!</v>
      </c>
      <c r="K1119" s="318" t="e">
        <f>I1119/$I$1139</f>
        <v>#DIV/0!</v>
      </c>
    </row>
    <row r="1120" spans="1:11" ht="15" customHeight="1">
      <c r="A1120" s="70" t="s">
        <v>1494</v>
      </c>
      <c r="B1120" s="388"/>
      <c r="C1120" s="388"/>
      <c r="D1120" s="161" t="s">
        <v>1490</v>
      </c>
      <c r="E1120" s="389"/>
      <c r="F1120" s="389"/>
      <c r="G1120" s="389"/>
      <c r="H1120" s="389"/>
      <c r="I1120" s="389"/>
      <c r="J1120" s="389"/>
    </row>
    <row r="1121" spans="1:11" s="157" customFormat="1" ht="27" outlineLevel="1">
      <c r="A1121" s="103" t="s">
        <v>1495</v>
      </c>
      <c r="B1121" s="63" t="s">
        <v>1850</v>
      </c>
      <c r="C1121" s="63" t="s">
        <v>7</v>
      </c>
      <c r="D1121" s="65" t="s">
        <v>1849</v>
      </c>
      <c r="E1121" s="86" t="s">
        <v>116</v>
      </c>
      <c r="F1121" s="80">
        <v>725.59</v>
      </c>
      <c r="G1121" s="276"/>
      <c r="H1121" s="249">
        <f t="shared" ref="H1121:H1124" si="302">TRUNC((G1121*(1+$I$12)),2)</f>
        <v>0</v>
      </c>
      <c r="I1121" s="249">
        <f t="shared" ref="I1121:I1124" si="303">ROUND((F1121*H1121),2)</f>
        <v>0</v>
      </c>
      <c r="J1121" s="248" t="e">
        <f>(I1121/$I$1421)</f>
        <v>#DIV/0!</v>
      </c>
    </row>
    <row r="1122" spans="1:11" s="157" customFormat="1" ht="27" outlineLevel="1">
      <c r="A1122" s="103" t="s">
        <v>1496</v>
      </c>
      <c r="B1122" s="63" t="s">
        <v>30</v>
      </c>
      <c r="C1122" s="63" t="s">
        <v>7</v>
      </c>
      <c r="D1122" s="65" t="s">
        <v>136</v>
      </c>
      <c r="E1122" s="86" t="s">
        <v>115</v>
      </c>
      <c r="F1122" s="64">
        <v>64.209999999999994</v>
      </c>
      <c r="G1122" s="276"/>
      <c r="H1122" s="249">
        <f t="shared" si="302"/>
        <v>0</v>
      </c>
      <c r="I1122" s="249">
        <f t="shared" si="303"/>
        <v>0</v>
      </c>
      <c r="J1122" s="248" t="e">
        <f>(I1122/$I$1421)</f>
        <v>#DIV/0!</v>
      </c>
    </row>
    <row r="1123" spans="1:11" s="157" customFormat="1" outlineLevel="1">
      <c r="A1123" s="103" t="s">
        <v>1497</v>
      </c>
      <c r="B1123" s="63" t="s">
        <v>29</v>
      </c>
      <c r="C1123" s="63" t="s">
        <v>7</v>
      </c>
      <c r="D1123" s="65" t="s">
        <v>784</v>
      </c>
      <c r="E1123" s="86" t="s">
        <v>117</v>
      </c>
      <c r="F1123" s="64">
        <f>F1121*9.98</f>
        <v>7241.3882000000003</v>
      </c>
      <c r="G1123" s="276"/>
      <c r="H1123" s="249">
        <f t="shared" si="302"/>
        <v>0</v>
      </c>
      <c r="I1123" s="249">
        <f t="shared" si="303"/>
        <v>0</v>
      </c>
      <c r="J1123" s="248" t="e">
        <f>(I1123/$I$1421)</f>
        <v>#DIV/0!</v>
      </c>
    </row>
    <row r="1124" spans="1:11" s="100" customFormat="1" outlineLevel="1">
      <c r="A1124" s="103" t="s">
        <v>1498</v>
      </c>
      <c r="B1124" s="67" t="s">
        <v>1419</v>
      </c>
      <c r="C1124" s="67" t="s">
        <v>9</v>
      </c>
      <c r="D1124" s="277" t="s">
        <v>1418</v>
      </c>
      <c r="E1124" s="86" t="s">
        <v>116</v>
      </c>
      <c r="F1124" s="99">
        <f>F1121</f>
        <v>725.59</v>
      </c>
      <c r="G1124" s="278"/>
      <c r="H1124" s="249">
        <f t="shared" si="302"/>
        <v>0</v>
      </c>
      <c r="I1124" s="249">
        <f t="shared" si="303"/>
        <v>0</v>
      </c>
      <c r="J1124" s="248" t="e">
        <f>(I1124/$I$1421)</f>
        <v>#DIV/0!</v>
      </c>
    </row>
    <row r="1125" spans="1:11" s="115" customFormat="1" ht="15.75" customHeight="1">
      <c r="A1125" s="378" t="s">
        <v>1509</v>
      </c>
      <c r="B1125" s="378"/>
      <c r="C1125" s="378"/>
      <c r="D1125" s="378"/>
      <c r="E1125" s="378"/>
      <c r="F1125" s="378"/>
      <c r="G1125" s="378"/>
      <c r="H1125" s="378"/>
      <c r="I1125" s="177">
        <f>SUM(I1121:I1124)</f>
        <v>0</v>
      </c>
      <c r="J1125" s="144" t="e">
        <f>SUM(J1121:J1124)</f>
        <v>#DIV/0!</v>
      </c>
      <c r="K1125" s="318" t="e">
        <f>I1125/$I$1139</f>
        <v>#DIV/0!</v>
      </c>
    </row>
    <row r="1126" spans="1:11" ht="15" customHeight="1">
      <c r="A1126" s="70" t="s">
        <v>1499</v>
      </c>
      <c r="B1126" s="388"/>
      <c r="C1126" s="388"/>
      <c r="D1126" s="161" t="s">
        <v>1491</v>
      </c>
      <c r="E1126" s="389"/>
      <c r="F1126" s="389"/>
      <c r="G1126" s="389"/>
      <c r="H1126" s="389"/>
      <c r="I1126" s="389"/>
      <c r="J1126" s="389"/>
    </row>
    <row r="1127" spans="1:11" s="157" customFormat="1" ht="27" outlineLevel="1">
      <c r="A1127" s="103" t="s">
        <v>1500</v>
      </c>
      <c r="B1127" s="63" t="s">
        <v>1850</v>
      </c>
      <c r="C1127" s="63" t="s">
        <v>7</v>
      </c>
      <c r="D1127" s="65" t="s">
        <v>1849</v>
      </c>
      <c r="E1127" s="86" t="s">
        <v>116</v>
      </c>
      <c r="F1127" s="80">
        <v>110.53</v>
      </c>
      <c r="G1127" s="276"/>
      <c r="H1127" s="249">
        <f t="shared" ref="H1127:H1130" si="304">TRUNC((G1127*(1+$I$12)),2)</f>
        <v>0</v>
      </c>
      <c r="I1127" s="249">
        <f t="shared" ref="I1127:I1130" si="305">ROUND((F1127*H1127),2)</f>
        <v>0</v>
      </c>
      <c r="J1127" s="248" t="e">
        <f>(I1127/$I$1421)</f>
        <v>#DIV/0!</v>
      </c>
      <c r="K1127" s="154">
        <f>(F1115+F1121+F1127+F1133)-1074.48</f>
        <v>722.23</v>
      </c>
    </row>
    <row r="1128" spans="1:11" s="157" customFormat="1" ht="27" outlineLevel="1">
      <c r="A1128" s="103" t="s">
        <v>1501</v>
      </c>
      <c r="B1128" s="63" t="s">
        <v>30</v>
      </c>
      <c r="C1128" s="63" t="s">
        <v>7</v>
      </c>
      <c r="D1128" s="65" t="s">
        <v>136</v>
      </c>
      <c r="E1128" s="86" t="s">
        <v>115</v>
      </c>
      <c r="F1128" s="64">
        <v>24.78</v>
      </c>
      <c r="G1128" s="276"/>
      <c r="H1128" s="249">
        <f t="shared" si="304"/>
        <v>0</v>
      </c>
      <c r="I1128" s="249">
        <f t="shared" si="305"/>
        <v>0</v>
      </c>
      <c r="J1128" s="248" t="e">
        <f>(I1128/$I$1421)</f>
        <v>#DIV/0!</v>
      </c>
      <c r="K1128" s="154">
        <f>F1117+F1123+F1129</f>
        <v>17002.026800000003</v>
      </c>
    </row>
    <row r="1129" spans="1:11" s="157" customFormat="1" outlineLevel="1">
      <c r="A1129" s="103" t="s">
        <v>1502</v>
      </c>
      <c r="B1129" s="63" t="s">
        <v>29</v>
      </c>
      <c r="C1129" s="63" t="s">
        <v>7</v>
      </c>
      <c r="D1129" s="65" t="s">
        <v>784</v>
      </c>
      <c r="E1129" s="86" t="s">
        <v>117</v>
      </c>
      <c r="F1129" s="64">
        <f>F1127*9.98</f>
        <v>1103.0894000000001</v>
      </c>
      <c r="G1129" s="276"/>
      <c r="H1129" s="249">
        <f t="shared" si="304"/>
        <v>0</v>
      </c>
      <c r="I1129" s="249">
        <f t="shared" si="305"/>
        <v>0</v>
      </c>
      <c r="J1129" s="248" t="e">
        <f>(I1129/$I$1421)</f>
        <v>#DIV/0!</v>
      </c>
    </row>
    <row r="1130" spans="1:11" s="100" customFormat="1" outlineLevel="1">
      <c r="A1130" s="103" t="s">
        <v>1503</v>
      </c>
      <c r="B1130" s="67" t="s">
        <v>1419</v>
      </c>
      <c r="C1130" s="67" t="s">
        <v>9</v>
      </c>
      <c r="D1130" s="277" t="s">
        <v>1418</v>
      </c>
      <c r="E1130" s="86" t="s">
        <v>116</v>
      </c>
      <c r="F1130" s="99">
        <f>F1127</f>
        <v>110.53</v>
      </c>
      <c r="G1130" s="278"/>
      <c r="H1130" s="249">
        <f t="shared" si="304"/>
        <v>0</v>
      </c>
      <c r="I1130" s="249">
        <f t="shared" si="305"/>
        <v>0</v>
      </c>
      <c r="J1130" s="248" t="e">
        <f>(I1130/$I$1421)</f>
        <v>#DIV/0!</v>
      </c>
      <c r="K1130" s="279"/>
    </row>
    <row r="1131" spans="1:11" s="115" customFormat="1" ht="15.75" customHeight="1">
      <c r="A1131" s="378" t="s">
        <v>1510</v>
      </c>
      <c r="B1131" s="378"/>
      <c r="C1131" s="378"/>
      <c r="D1131" s="378"/>
      <c r="E1131" s="378"/>
      <c r="F1131" s="378"/>
      <c r="G1131" s="378"/>
      <c r="H1131" s="378"/>
      <c r="I1131" s="177">
        <f>SUM(I1127:I1130)</f>
        <v>0</v>
      </c>
      <c r="J1131" s="144" t="e">
        <f>SUM(J1127:J1130)</f>
        <v>#DIV/0!</v>
      </c>
      <c r="K1131" s="318" t="e">
        <f>I1131/$I$1139</f>
        <v>#DIV/0!</v>
      </c>
    </row>
    <row r="1132" spans="1:11" ht="15" customHeight="1">
      <c r="A1132" s="70" t="s">
        <v>1504</v>
      </c>
      <c r="B1132" s="388"/>
      <c r="C1132" s="388"/>
      <c r="D1132" s="161" t="s">
        <v>1492</v>
      </c>
      <c r="E1132" s="389"/>
      <c r="F1132" s="389"/>
      <c r="G1132" s="389"/>
      <c r="H1132" s="389"/>
      <c r="I1132" s="389"/>
      <c r="J1132" s="389"/>
    </row>
    <row r="1133" spans="1:11" s="157" customFormat="1" ht="27" outlineLevel="1">
      <c r="A1133" s="103" t="s">
        <v>1505</v>
      </c>
      <c r="B1133" s="63" t="s">
        <v>1850</v>
      </c>
      <c r="C1133" s="63" t="s">
        <v>7</v>
      </c>
      <c r="D1133" s="65" t="s">
        <v>1849</v>
      </c>
      <c r="E1133" s="86" t="s">
        <v>116</v>
      </c>
      <c r="F1133" s="80">
        <v>92.23</v>
      </c>
      <c r="G1133" s="276"/>
      <c r="H1133" s="249">
        <f t="shared" ref="H1133:H1136" si="306">TRUNC((G1133*(1+$I$12)),2)</f>
        <v>0</v>
      </c>
      <c r="I1133" s="249">
        <f t="shared" ref="I1133:I1136" si="307">ROUND((F1133*H1133),2)</f>
        <v>0</v>
      </c>
      <c r="J1133" s="248" t="e">
        <f>(I1133/$I$1421)</f>
        <v>#DIV/0!</v>
      </c>
    </row>
    <row r="1134" spans="1:11" s="157" customFormat="1" ht="27" outlineLevel="1">
      <c r="A1134" s="103" t="s">
        <v>1506</v>
      </c>
      <c r="B1134" s="63" t="s">
        <v>30</v>
      </c>
      <c r="C1134" s="63" t="s">
        <v>7</v>
      </c>
      <c r="D1134" s="65" t="s">
        <v>136</v>
      </c>
      <c r="E1134" s="86" t="s">
        <v>115</v>
      </c>
      <c r="F1134" s="64">
        <v>22.73</v>
      </c>
      <c r="G1134" s="276"/>
      <c r="H1134" s="249">
        <f t="shared" si="306"/>
        <v>0</v>
      </c>
      <c r="I1134" s="249">
        <f t="shared" si="307"/>
        <v>0</v>
      </c>
      <c r="J1134" s="248" t="e">
        <f>(I1134/$I$1421)</f>
        <v>#DIV/0!</v>
      </c>
    </row>
    <row r="1135" spans="1:11" s="157" customFormat="1" outlineLevel="1">
      <c r="A1135" s="103" t="s">
        <v>1507</v>
      </c>
      <c r="B1135" s="63" t="s">
        <v>29</v>
      </c>
      <c r="C1135" s="63" t="s">
        <v>7</v>
      </c>
      <c r="D1135" s="65" t="s">
        <v>784</v>
      </c>
      <c r="E1135" s="86" t="s">
        <v>117</v>
      </c>
      <c r="F1135" s="64">
        <f>F1133*10</f>
        <v>922.30000000000007</v>
      </c>
      <c r="G1135" s="276"/>
      <c r="H1135" s="249">
        <f t="shared" si="306"/>
        <v>0</v>
      </c>
      <c r="I1135" s="249">
        <f t="shared" si="307"/>
        <v>0</v>
      </c>
      <c r="J1135" s="248" t="e">
        <f>(I1135/$I$1421)</f>
        <v>#DIV/0!</v>
      </c>
    </row>
    <row r="1136" spans="1:11" s="100" customFormat="1" outlineLevel="1">
      <c r="A1136" s="103" t="s">
        <v>1508</v>
      </c>
      <c r="B1136" s="67" t="s">
        <v>1419</v>
      </c>
      <c r="C1136" s="67" t="s">
        <v>9</v>
      </c>
      <c r="D1136" s="277" t="s">
        <v>1418</v>
      </c>
      <c r="E1136" s="86" t="s">
        <v>116</v>
      </c>
      <c r="F1136" s="99">
        <f>F1133</f>
        <v>92.23</v>
      </c>
      <c r="G1136" s="278"/>
      <c r="H1136" s="249">
        <f t="shared" si="306"/>
        <v>0</v>
      </c>
      <c r="I1136" s="249">
        <f t="shared" si="307"/>
        <v>0</v>
      </c>
      <c r="J1136" s="248" t="e">
        <f>(I1136/$I$1421)</f>
        <v>#DIV/0!</v>
      </c>
    </row>
    <row r="1137" spans="1:11" s="100" customFormat="1" ht="27" outlineLevel="1">
      <c r="A1137" s="103" t="s">
        <v>1960</v>
      </c>
      <c r="B1137" s="67">
        <v>94228</v>
      </c>
      <c r="C1137" s="67" t="s">
        <v>18</v>
      </c>
      <c r="D1137" s="97" t="s">
        <v>1959</v>
      </c>
      <c r="E1137" s="86" t="s">
        <v>115</v>
      </c>
      <c r="F1137" s="99">
        <v>18.739999999999998</v>
      </c>
      <c r="G1137" s="278"/>
      <c r="H1137" s="354">
        <f t="shared" ref="H1137" si="308">TRUNC((G1137*(1+$I$12)),2)</f>
        <v>0</v>
      </c>
      <c r="I1137" s="354">
        <f t="shared" ref="I1137" si="309">ROUND((F1137*H1137),2)</f>
        <v>0</v>
      </c>
      <c r="J1137" s="353" t="e">
        <f>(I1137/$I$1421)</f>
        <v>#DIV/0!</v>
      </c>
    </row>
    <row r="1138" spans="1:11" s="115" customFormat="1" ht="15.75" customHeight="1">
      <c r="A1138" s="378" t="s">
        <v>1511</v>
      </c>
      <c r="B1138" s="378"/>
      <c r="C1138" s="378"/>
      <c r="D1138" s="378"/>
      <c r="E1138" s="378"/>
      <c r="F1138" s="378"/>
      <c r="G1138" s="378"/>
      <c r="H1138" s="378"/>
      <c r="I1138" s="177">
        <f>SUM(I1133:I1137)</f>
        <v>0</v>
      </c>
      <c r="J1138" s="144" t="e">
        <f>SUM(J1133:J1137)</f>
        <v>#DIV/0!</v>
      </c>
      <c r="K1138" s="318" t="e">
        <f>I1138/$I$1139</f>
        <v>#DIV/0!</v>
      </c>
    </row>
    <row r="1139" spans="1:11" s="115" customFormat="1" ht="15.75" customHeight="1">
      <c r="A1139" s="378" t="s">
        <v>1512</v>
      </c>
      <c r="B1139" s="378"/>
      <c r="C1139" s="378"/>
      <c r="D1139" s="378"/>
      <c r="E1139" s="378"/>
      <c r="F1139" s="378"/>
      <c r="G1139" s="378"/>
      <c r="H1139" s="378"/>
      <c r="I1139" s="177">
        <f>I1119+I1125+I1131+I1138</f>
        <v>0</v>
      </c>
      <c r="J1139" s="144" t="e">
        <f>J1119+J1125+J1131+J1138</f>
        <v>#DIV/0!</v>
      </c>
      <c r="K1139" s="222"/>
    </row>
    <row r="1140" spans="1:11" s="58" customFormat="1" ht="16.5" customHeight="1">
      <c r="A1140" s="62" t="s">
        <v>23</v>
      </c>
      <c r="B1140" s="383"/>
      <c r="C1140" s="383"/>
      <c r="D1140" s="76" t="s">
        <v>309</v>
      </c>
      <c r="E1140" s="379"/>
      <c r="F1140" s="379"/>
      <c r="G1140" s="379"/>
      <c r="H1140" s="379"/>
      <c r="I1140" s="379"/>
      <c r="J1140" s="380"/>
    </row>
    <row r="1141" spans="1:11" s="115" customFormat="1" ht="15.75" customHeight="1">
      <c r="A1141" s="160" t="s">
        <v>1134</v>
      </c>
      <c r="B1141" s="162"/>
      <c r="C1141" s="162"/>
      <c r="D1141" s="112" t="s">
        <v>308</v>
      </c>
      <c r="E1141" s="113"/>
      <c r="F1141" s="113"/>
      <c r="G1141" s="180"/>
      <c r="H1141" s="180"/>
      <c r="I1141" s="180"/>
      <c r="J1141" s="114"/>
    </row>
    <row r="1142" spans="1:11" s="228" customFormat="1" ht="15.75" customHeight="1">
      <c r="A1142" s="61" t="s">
        <v>1135</v>
      </c>
      <c r="B1142" s="192"/>
      <c r="C1142" s="192"/>
      <c r="D1142" s="193" t="s">
        <v>159</v>
      </c>
      <c r="E1142" s="194"/>
      <c r="F1142" s="194"/>
      <c r="G1142" s="195"/>
      <c r="H1142" s="195"/>
      <c r="I1142" s="195"/>
      <c r="J1142" s="196"/>
    </row>
    <row r="1143" spans="1:11" s="286" customFormat="1" ht="15.95" customHeight="1" outlineLevel="1">
      <c r="A1143" s="280" t="s">
        <v>1136</v>
      </c>
      <c r="B1143" s="280" t="s">
        <v>370</v>
      </c>
      <c r="C1143" s="280" t="s">
        <v>314</v>
      </c>
      <c r="D1143" s="281" t="s">
        <v>371</v>
      </c>
      <c r="E1143" s="282" t="s">
        <v>317</v>
      </c>
      <c r="F1143" s="283">
        <v>1</v>
      </c>
      <c r="G1143" s="284"/>
      <c r="H1143" s="98">
        <f t="shared" ref="H1143:H1146" si="310">TRUNC((G1143*(1+$I$12)),2)</f>
        <v>0</v>
      </c>
      <c r="I1143" s="98">
        <f t="shared" ref="I1143:I1144" si="311">F1143*H1143</f>
        <v>0</v>
      </c>
      <c r="J1143" s="285" t="e">
        <f>I1143/$I$1421</f>
        <v>#DIV/0!</v>
      </c>
    </row>
    <row r="1144" spans="1:11" s="286" customFormat="1" outlineLevel="1">
      <c r="A1144" s="280" t="s">
        <v>1137</v>
      </c>
      <c r="B1144" s="287">
        <v>97661</v>
      </c>
      <c r="C1144" s="287" t="s">
        <v>18</v>
      </c>
      <c r="D1144" s="288" t="s">
        <v>376</v>
      </c>
      <c r="E1144" s="282" t="s">
        <v>115</v>
      </c>
      <c r="F1144" s="282">
        <v>4000</v>
      </c>
      <c r="G1144" s="289"/>
      <c r="H1144" s="98">
        <f t="shared" si="310"/>
        <v>0</v>
      </c>
      <c r="I1144" s="98">
        <f t="shared" si="311"/>
        <v>0</v>
      </c>
      <c r="J1144" s="285" t="e">
        <f>I1144/$I$1421</f>
        <v>#DIV/0!</v>
      </c>
    </row>
    <row r="1145" spans="1:11" s="286" customFormat="1" ht="40.5" outlineLevel="1">
      <c r="A1145" s="280" t="s">
        <v>1138</v>
      </c>
      <c r="B1145" s="63">
        <v>100983</v>
      </c>
      <c r="C1145" s="63" t="s">
        <v>18</v>
      </c>
      <c r="D1145" s="65" t="s">
        <v>1896</v>
      </c>
      <c r="E1145" s="66" t="s">
        <v>218</v>
      </c>
      <c r="F1145" s="64">
        <v>3</v>
      </c>
      <c r="G1145" s="350"/>
      <c r="H1145" s="350">
        <f t="shared" si="310"/>
        <v>0</v>
      </c>
      <c r="I1145" s="121">
        <f t="shared" ref="I1145:I1146" si="312">ROUND((F1145*H1145),2)</f>
        <v>0</v>
      </c>
      <c r="J1145" s="349" t="e">
        <f>(I1145/$I$1421)</f>
        <v>#DIV/0!</v>
      </c>
    </row>
    <row r="1146" spans="1:11" s="286" customFormat="1" ht="27" outlineLevel="1">
      <c r="A1146" s="280" t="s">
        <v>1949</v>
      </c>
      <c r="B1146" s="63">
        <v>95875</v>
      </c>
      <c r="C1146" s="63" t="s">
        <v>18</v>
      </c>
      <c r="D1146" s="65" t="s">
        <v>1898</v>
      </c>
      <c r="E1146" s="66" t="s">
        <v>1897</v>
      </c>
      <c r="F1146" s="64">
        <f>F1145*4</f>
        <v>12</v>
      </c>
      <c r="G1146" s="350"/>
      <c r="H1146" s="350">
        <f t="shared" si="310"/>
        <v>0</v>
      </c>
      <c r="I1146" s="121">
        <f t="shared" si="312"/>
        <v>0</v>
      </c>
      <c r="J1146" s="349" t="e">
        <f>(I1146/$I$1421)</f>
        <v>#DIV/0!</v>
      </c>
    </row>
    <row r="1147" spans="1:11" s="115" customFormat="1" ht="15.75" customHeight="1">
      <c r="A1147" s="378" t="s">
        <v>1321</v>
      </c>
      <c r="B1147" s="378"/>
      <c r="C1147" s="378"/>
      <c r="D1147" s="378"/>
      <c r="E1147" s="378"/>
      <c r="F1147" s="378"/>
      <c r="G1147" s="378"/>
      <c r="H1147" s="378"/>
      <c r="I1147" s="177">
        <f>SUM(I1143:I1146)</f>
        <v>0</v>
      </c>
      <c r="J1147" s="144" t="e">
        <f>SUM(J1143:J1146)</f>
        <v>#DIV/0!</v>
      </c>
      <c r="K1147" s="222"/>
    </row>
    <row r="1148" spans="1:11" s="228" customFormat="1" ht="15.75" customHeight="1">
      <c r="A1148" s="223" t="s">
        <v>1140</v>
      </c>
      <c r="B1148" s="199"/>
      <c r="C1148" s="199"/>
      <c r="D1148" s="224" t="s">
        <v>308</v>
      </c>
      <c r="E1148" s="225"/>
      <c r="F1148" s="225"/>
      <c r="G1148" s="226"/>
      <c r="H1148" s="226"/>
      <c r="I1148" s="226"/>
      <c r="J1148" s="227"/>
    </row>
    <row r="1149" spans="1:11" s="100" customFormat="1" ht="40.5" outlineLevel="1">
      <c r="A1149" s="101" t="s">
        <v>1141</v>
      </c>
      <c r="B1149" s="101" t="s">
        <v>10</v>
      </c>
      <c r="C1149" s="101" t="str">
        <f>[1]Composições!I78</f>
        <v>COMP06</v>
      </c>
      <c r="D1149" s="102" t="str">
        <f>[1]Composições!B78</f>
        <v>ENTRADA DE ENERGIA ELÉTRICA, AÉREA, TRIFÁSICA, COM CAIXA DE EMBUTIR, CABO DE 16 MM2 E DISJUNTOR DIN 63A, INCLUSO O POSTE DE CONCRETO E ASSENTAMENTO. AF_07/2020_PS (POSTE PADRÃO T1 - ELEKTRO)</v>
      </c>
      <c r="E1149" s="80" t="s">
        <v>317</v>
      </c>
      <c r="F1149" s="80">
        <v>1</v>
      </c>
      <c r="G1149" s="119"/>
      <c r="H1149" s="124">
        <f t="shared" ref="H1149" si="313">TRUNC((G1149*(1+$I$12)),2)</f>
        <v>0</v>
      </c>
      <c r="I1149" s="338">
        <f t="shared" ref="I1149" si="314">F1149*H1149</f>
        <v>0</v>
      </c>
      <c r="J1149" s="74" t="e">
        <f>I1149/$I$1421</f>
        <v>#DIV/0!</v>
      </c>
    </row>
    <row r="1150" spans="1:11">
      <c r="A1150" s="390" t="s">
        <v>1322</v>
      </c>
      <c r="B1150" s="390"/>
      <c r="C1150" s="390"/>
      <c r="D1150" s="390"/>
      <c r="E1150" s="390"/>
      <c r="F1150" s="390"/>
      <c r="G1150" s="390"/>
      <c r="H1150" s="390"/>
      <c r="I1150" s="220">
        <f>I1149</f>
        <v>0</v>
      </c>
      <c r="J1150" s="221" t="e">
        <f>J1149</f>
        <v>#DIV/0!</v>
      </c>
    </row>
    <row r="1151" spans="1:11" s="115" customFormat="1">
      <c r="A1151" s="378" t="s">
        <v>1139</v>
      </c>
      <c r="B1151" s="378"/>
      <c r="C1151" s="378"/>
      <c r="D1151" s="378"/>
      <c r="E1151" s="378"/>
      <c r="F1151" s="378"/>
      <c r="G1151" s="378"/>
      <c r="H1151" s="378"/>
      <c r="I1151" s="177">
        <f>I1147+I1150</f>
        <v>0</v>
      </c>
      <c r="J1151" s="144" t="e">
        <f>J1147+J1150</f>
        <v>#DIV/0!</v>
      </c>
      <c r="K1151" s="318" t="e">
        <f>I1151/$I$1236</f>
        <v>#DIV/0!</v>
      </c>
    </row>
    <row r="1152" spans="1:11" ht="15.75" customHeight="1">
      <c r="A1152" s="141" t="s">
        <v>1142</v>
      </c>
      <c r="B1152" s="110"/>
      <c r="C1152" s="110"/>
      <c r="D1152" s="165" t="s">
        <v>321</v>
      </c>
      <c r="E1152" s="163"/>
      <c r="F1152" s="163"/>
      <c r="G1152" s="182"/>
      <c r="H1152" s="182"/>
      <c r="I1152" s="182"/>
      <c r="J1152" s="164"/>
    </row>
    <row r="1153" spans="1:11" s="191" customFormat="1" ht="15.75" customHeight="1">
      <c r="A1153" s="61" t="s">
        <v>1143</v>
      </c>
      <c r="B1153" s="59"/>
      <c r="C1153" s="59"/>
      <c r="D1153" s="77" t="s">
        <v>320</v>
      </c>
      <c r="E1153" s="78"/>
      <c r="F1153" s="78"/>
      <c r="G1153" s="181"/>
      <c r="H1153" s="181"/>
      <c r="I1153" s="181"/>
      <c r="J1153" s="164"/>
    </row>
    <row r="1154" spans="1:11" s="100" customFormat="1" ht="15.95" customHeight="1" outlineLevel="1">
      <c r="A1154" s="108" t="s">
        <v>1144</v>
      </c>
      <c r="B1154" s="5" t="s">
        <v>315</v>
      </c>
      <c r="C1154" s="5" t="s">
        <v>314</v>
      </c>
      <c r="D1154" s="97" t="s">
        <v>316</v>
      </c>
      <c r="E1154" s="64" t="s">
        <v>317</v>
      </c>
      <c r="F1154" s="64">
        <v>159</v>
      </c>
      <c r="G1154" s="98"/>
      <c r="H1154" s="249">
        <f t="shared" ref="H1154:H1162" si="315">TRUNC((G1154*(1+$I$12)),2)</f>
        <v>0</v>
      </c>
      <c r="I1154" s="251">
        <f t="shared" ref="I1154:I1162" si="316">F1154*H1154</f>
        <v>0</v>
      </c>
      <c r="J1154" s="74" t="e">
        <f>I1154/$I$1421</f>
        <v>#DIV/0!</v>
      </c>
    </row>
    <row r="1155" spans="1:11" s="100" customFormat="1" ht="15.95" customHeight="1" outlineLevel="1">
      <c r="A1155" s="108" t="s">
        <v>1145</v>
      </c>
      <c r="B1155" s="5" t="s">
        <v>318</v>
      </c>
      <c r="C1155" s="5" t="s">
        <v>314</v>
      </c>
      <c r="D1155" s="97" t="s">
        <v>319</v>
      </c>
      <c r="E1155" s="64" t="s">
        <v>317</v>
      </c>
      <c r="F1155" s="64">
        <v>5</v>
      </c>
      <c r="G1155" s="98"/>
      <c r="H1155" s="249">
        <f t="shared" si="315"/>
        <v>0</v>
      </c>
      <c r="I1155" s="251">
        <f t="shared" si="316"/>
        <v>0</v>
      </c>
      <c r="J1155" s="74" t="e">
        <f>I1155/$I$1421</f>
        <v>#DIV/0!</v>
      </c>
    </row>
    <row r="1156" spans="1:11">
      <c r="A1156" s="390" t="s">
        <v>1323</v>
      </c>
      <c r="B1156" s="390"/>
      <c r="C1156" s="390"/>
      <c r="D1156" s="390"/>
      <c r="E1156" s="390"/>
      <c r="F1156" s="390"/>
      <c r="G1156" s="390"/>
      <c r="H1156" s="390"/>
      <c r="I1156" s="220">
        <f>SUM(I1154:I1155)</f>
        <v>0</v>
      </c>
      <c r="J1156" s="144" t="e">
        <f>SUM(J1154:J1155)</f>
        <v>#DIV/0!</v>
      </c>
    </row>
    <row r="1157" spans="1:11" s="191" customFormat="1" ht="15.75" customHeight="1">
      <c r="A1157" s="61" t="s">
        <v>1146</v>
      </c>
      <c r="B1157" s="59"/>
      <c r="C1157" s="59"/>
      <c r="D1157" s="77" t="s">
        <v>322</v>
      </c>
      <c r="E1157" s="78"/>
      <c r="F1157" s="78"/>
      <c r="G1157" s="181"/>
      <c r="H1157" s="181"/>
      <c r="I1157" s="181"/>
      <c r="J1157" s="164"/>
    </row>
    <row r="1158" spans="1:11" s="100" customFormat="1" ht="27" outlineLevel="1">
      <c r="A1158" s="108" t="s">
        <v>1147</v>
      </c>
      <c r="B1158" s="5">
        <v>91837</v>
      </c>
      <c r="C1158" s="5" t="s">
        <v>18</v>
      </c>
      <c r="D1158" s="97" t="s">
        <v>311</v>
      </c>
      <c r="E1158" s="64" t="s">
        <v>115</v>
      </c>
      <c r="F1158" s="64">
        <v>50</v>
      </c>
      <c r="G1158" s="98"/>
      <c r="H1158" s="249">
        <f t="shared" si="315"/>
        <v>0</v>
      </c>
      <c r="I1158" s="251">
        <f t="shared" si="316"/>
        <v>0</v>
      </c>
      <c r="J1158" s="74" t="e">
        <f>I1158/$I$1421</f>
        <v>#DIV/0!</v>
      </c>
    </row>
    <row r="1159" spans="1:11" s="100" customFormat="1" ht="27" outlineLevel="1">
      <c r="A1159" s="108" t="s">
        <v>1148</v>
      </c>
      <c r="B1159" s="5">
        <v>93009</v>
      </c>
      <c r="C1159" s="5" t="s">
        <v>18</v>
      </c>
      <c r="D1159" s="97" t="s">
        <v>312</v>
      </c>
      <c r="E1159" s="64" t="s">
        <v>115</v>
      </c>
      <c r="F1159" s="64">
        <v>50</v>
      </c>
      <c r="G1159" s="98"/>
      <c r="H1159" s="249">
        <f t="shared" si="315"/>
        <v>0</v>
      </c>
      <c r="I1159" s="251">
        <f t="shared" si="316"/>
        <v>0</v>
      </c>
      <c r="J1159" s="74" t="e">
        <f>I1159/$I$1421</f>
        <v>#DIV/0!</v>
      </c>
    </row>
    <row r="1160" spans="1:11" s="100" customFormat="1" ht="27" outlineLevel="1">
      <c r="A1160" s="108" t="s">
        <v>1149</v>
      </c>
      <c r="B1160" s="5">
        <v>91840</v>
      </c>
      <c r="C1160" s="5" t="s">
        <v>18</v>
      </c>
      <c r="D1160" s="291" t="s">
        <v>313</v>
      </c>
      <c r="E1160" s="64" t="s">
        <v>115</v>
      </c>
      <c r="F1160" s="64">
        <v>40</v>
      </c>
      <c r="G1160" s="98"/>
      <c r="H1160" s="249">
        <f t="shared" si="315"/>
        <v>0</v>
      </c>
      <c r="I1160" s="251">
        <f t="shared" si="316"/>
        <v>0</v>
      </c>
      <c r="J1160" s="74" t="e">
        <f>I1160/$I$1421</f>
        <v>#DIV/0!</v>
      </c>
    </row>
    <row r="1161" spans="1:11" s="100" customFormat="1" ht="27" outlineLevel="1">
      <c r="A1161" s="108" t="s">
        <v>1150</v>
      </c>
      <c r="B1161" s="5">
        <v>93008</v>
      </c>
      <c r="C1161" s="5" t="s">
        <v>18</v>
      </c>
      <c r="D1161" s="292" t="s">
        <v>374</v>
      </c>
      <c r="E1161" s="64" t="s">
        <v>115</v>
      </c>
      <c r="F1161" s="64">
        <v>1500</v>
      </c>
      <c r="G1161" s="98"/>
      <c r="H1161" s="249">
        <f t="shared" si="315"/>
        <v>0</v>
      </c>
      <c r="I1161" s="251">
        <f t="shared" si="316"/>
        <v>0</v>
      </c>
      <c r="J1161" s="74" t="e">
        <f>I1161/$I$1421</f>
        <v>#DIV/0!</v>
      </c>
    </row>
    <row r="1162" spans="1:11" s="100" customFormat="1" ht="27" outlineLevel="1">
      <c r="A1162" s="108" t="s">
        <v>1151</v>
      </c>
      <c r="B1162" s="5">
        <v>93010</v>
      </c>
      <c r="C1162" s="5" t="s">
        <v>18</v>
      </c>
      <c r="D1162" s="292" t="s">
        <v>373</v>
      </c>
      <c r="E1162" s="64" t="s">
        <v>115</v>
      </c>
      <c r="F1162" s="64">
        <v>150</v>
      </c>
      <c r="G1162" s="98"/>
      <c r="H1162" s="249">
        <f t="shared" si="315"/>
        <v>0</v>
      </c>
      <c r="I1162" s="251">
        <f t="shared" si="316"/>
        <v>0</v>
      </c>
      <c r="J1162" s="74" t="e">
        <f>I1162/$I$1421</f>
        <v>#DIV/0!</v>
      </c>
      <c r="K1162" s="279"/>
    </row>
    <row r="1163" spans="1:11">
      <c r="A1163" s="390" t="s">
        <v>1324</v>
      </c>
      <c r="B1163" s="390"/>
      <c r="C1163" s="390"/>
      <c r="D1163" s="390"/>
      <c r="E1163" s="390"/>
      <c r="F1163" s="390"/>
      <c r="G1163" s="390"/>
      <c r="H1163" s="390"/>
      <c r="I1163" s="220">
        <f>SUM(I1158:I1162)</f>
        <v>0</v>
      </c>
      <c r="J1163" s="144" t="e">
        <f>SUM(J1158:J1162)</f>
        <v>#DIV/0!</v>
      </c>
    </row>
    <row r="1164" spans="1:11" ht="15.75" customHeight="1">
      <c r="A1164" s="61" t="s">
        <v>1152</v>
      </c>
      <c r="B1164" s="59"/>
      <c r="C1164" s="59"/>
      <c r="D1164" s="77" t="s">
        <v>160</v>
      </c>
      <c r="E1164" s="78"/>
      <c r="F1164" s="78"/>
      <c r="G1164" s="181"/>
      <c r="H1164" s="181"/>
      <c r="I1164" s="181"/>
      <c r="J1164" s="79"/>
    </row>
    <row r="1165" spans="1:11" s="100" customFormat="1" ht="27" outlineLevel="1">
      <c r="A1165" s="5" t="s">
        <v>1153</v>
      </c>
      <c r="B1165" s="293">
        <v>101560</v>
      </c>
      <c r="C1165" s="5" t="s">
        <v>18</v>
      </c>
      <c r="D1165" s="97" t="s">
        <v>284</v>
      </c>
      <c r="E1165" s="64" t="s">
        <v>115</v>
      </c>
      <c r="F1165" s="64">
        <v>35</v>
      </c>
      <c r="G1165" s="98"/>
      <c r="H1165" s="249">
        <f t="shared" ref="H1165:H1200" si="317">TRUNC((G1165*(1+$I$12)),2)</f>
        <v>0</v>
      </c>
      <c r="I1165" s="251">
        <f t="shared" ref="I1165:I1200" si="318">F1165*H1165</f>
        <v>0</v>
      </c>
      <c r="J1165" s="74" t="e">
        <f t="shared" ref="J1165:J1188" si="319">I1165/$I$1421</f>
        <v>#DIV/0!</v>
      </c>
    </row>
    <row r="1166" spans="1:11" s="100" customFormat="1" ht="40.5" outlineLevel="1">
      <c r="A1166" s="5" t="s">
        <v>1154</v>
      </c>
      <c r="B1166" s="293">
        <v>101560</v>
      </c>
      <c r="C1166" s="5" t="s">
        <v>18</v>
      </c>
      <c r="D1166" s="97" t="s">
        <v>285</v>
      </c>
      <c r="E1166" s="64" t="s">
        <v>115</v>
      </c>
      <c r="F1166" s="64">
        <v>100</v>
      </c>
      <c r="G1166" s="98"/>
      <c r="H1166" s="249">
        <f t="shared" si="317"/>
        <v>0</v>
      </c>
      <c r="I1166" s="251">
        <f t="shared" si="318"/>
        <v>0</v>
      </c>
      <c r="J1166" s="74" t="e">
        <f t="shared" si="319"/>
        <v>#DIV/0!</v>
      </c>
    </row>
    <row r="1167" spans="1:11" s="100" customFormat="1" ht="40.5" outlineLevel="1">
      <c r="A1167" s="5" t="s">
        <v>1155</v>
      </c>
      <c r="B1167" s="293">
        <v>101561</v>
      </c>
      <c r="C1167" s="5" t="s">
        <v>18</v>
      </c>
      <c r="D1167" s="97" t="s">
        <v>286</v>
      </c>
      <c r="E1167" s="64" t="s">
        <v>115</v>
      </c>
      <c r="F1167" s="64">
        <v>100</v>
      </c>
      <c r="G1167" s="98"/>
      <c r="H1167" s="249">
        <f t="shared" si="317"/>
        <v>0</v>
      </c>
      <c r="I1167" s="251">
        <f t="shared" si="318"/>
        <v>0</v>
      </c>
      <c r="J1167" s="74" t="e">
        <f t="shared" si="319"/>
        <v>#DIV/0!</v>
      </c>
    </row>
    <row r="1168" spans="1:11" s="100" customFormat="1" ht="27" outlineLevel="1">
      <c r="A1168" s="5" t="s">
        <v>1156</v>
      </c>
      <c r="B1168" s="293">
        <v>101561</v>
      </c>
      <c r="C1168" s="5" t="s">
        <v>18</v>
      </c>
      <c r="D1168" s="97" t="s">
        <v>287</v>
      </c>
      <c r="E1168" s="64" t="s">
        <v>115</v>
      </c>
      <c r="F1168" s="64">
        <v>35</v>
      </c>
      <c r="G1168" s="98"/>
      <c r="H1168" s="249">
        <f t="shared" si="317"/>
        <v>0</v>
      </c>
      <c r="I1168" s="251">
        <f t="shared" si="318"/>
        <v>0</v>
      </c>
      <c r="J1168" s="74" t="e">
        <f t="shared" si="319"/>
        <v>#DIV/0!</v>
      </c>
    </row>
    <row r="1169" spans="1:10" s="100" customFormat="1" ht="40.5" outlineLevel="1">
      <c r="A1169" s="5" t="s">
        <v>1157</v>
      </c>
      <c r="B1169" s="293">
        <v>101561</v>
      </c>
      <c r="C1169" s="5" t="s">
        <v>18</v>
      </c>
      <c r="D1169" s="97" t="s">
        <v>288</v>
      </c>
      <c r="E1169" s="64" t="s">
        <v>115</v>
      </c>
      <c r="F1169" s="64">
        <v>40</v>
      </c>
      <c r="G1169" s="98"/>
      <c r="H1169" s="249">
        <f t="shared" si="317"/>
        <v>0</v>
      </c>
      <c r="I1169" s="251">
        <f t="shared" si="318"/>
        <v>0</v>
      </c>
      <c r="J1169" s="74" t="e">
        <f t="shared" si="319"/>
        <v>#DIV/0!</v>
      </c>
    </row>
    <row r="1170" spans="1:10" s="100" customFormat="1" ht="27" outlineLevel="1">
      <c r="A1170" s="5" t="s">
        <v>1158</v>
      </c>
      <c r="B1170" s="293">
        <v>101562</v>
      </c>
      <c r="C1170" s="5" t="s">
        <v>18</v>
      </c>
      <c r="D1170" s="97" t="s">
        <v>289</v>
      </c>
      <c r="E1170" s="64" t="s">
        <v>115</v>
      </c>
      <c r="F1170" s="64">
        <v>40</v>
      </c>
      <c r="G1170" s="98"/>
      <c r="H1170" s="249">
        <f t="shared" si="317"/>
        <v>0</v>
      </c>
      <c r="I1170" s="251">
        <f t="shared" si="318"/>
        <v>0</v>
      </c>
      <c r="J1170" s="74" t="e">
        <f t="shared" si="319"/>
        <v>#DIV/0!</v>
      </c>
    </row>
    <row r="1171" spans="1:10" s="100" customFormat="1" ht="40.5" outlineLevel="1">
      <c r="A1171" s="5" t="s">
        <v>1159</v>
      </c>
      <c r="B1171" s="293">
        <v>101562</v>
      </c>
      <c r="C1171" s="5" t="s">
        <v>18</v>
      </c>
      <c r="D1171" s="97" t="s">
        <v>290</v>
      </c>
      <c r="E1171" s="64" t="s">
        <v>115</v>
      </c>
      <c r="F1171" s="64">
        <v>120</v>
      </c>
      <c r="G1171" s="98"/>
      <c r="H1171" s="249">
        <f t="shared" si="317"/>
        <v>0</v>
      </c>
      <c r="I1171" s="251">
        <f t="shared" si="318"/>
        <v>0</v>
      </c>
      <c r="J1171" s="74" t="e">
        <f t="shared" si="319"/>
        <v>#DIV/0!</v>
      </c>
    </row>
    <row r="1172" spans="1:10" s="100" customFormat="1" ht="27" outlineLevel="1">
      <c r="A1172" s="5" t="s">
        <v>1160</v>
      </c>
      <c r="B1172" s="293">
        <v>91924</v>
      </c>
      <c r="C1172" s="5" t="s">
        <v>18</v>
      </c>
      <c r="D1172" s="97" t="s">
        <v>291</v>
      </c>
      <c r="E1172" s="64" t="s">
        <v>115</v>
      </c>
      <c r="F1172" s="64">
        <v>900</v>
      </c>
      <c r="G1172" s="98"/>
      <c r="H1172" s="249">
        <f t="shared" si="317"/>
        <v>0</v>
      </c>
      <c r="I1172" s="251">
        <f t="shared" si="318"/>
        <v>0</v>
      </c>
      <c r="J1172" s="74" t="e">
        <f t="shared" si="319"/>
        <v>#DIV/0!</v>
      </c>
    </row>
    <row r="1173" spans="1:10" s="100" customFormat="1" ht="27" outlineLevel="1">
      <c r="A1173" s="5" t="s">
        <v>1161</v>
      </c>
      <c r="B1173" s="293">
        <v>91924</v>
      </c>
      <c r="C1173" s="5" t="s">
        <v>18</v>
      </c>
      <c r="D1173" s="97" t="s">
        <v>292</v>
      </c>
      <c r="E1173" s="64" t="s">
        <v>115</v>
      </c>
      <c r="F1173" s="64">
        <v>1000</v>
      </c>
      <c r="G1173" s="98"/>
      <c r="H1173" s="249">
        <f t="shared" si="317"/>
        <v>0</v>
      </c>
      <c r="I1173" s="251">
        <f t="shared" si="318"/>
        <v>0</v>
      </c>
      <c r="J1173" s="74" t="e">
        <f t="shared" si="319"/>
        <v>#DIV/0!</v>
      </c>
    </row>
    <row r="1174" spans="1:10" s="100" customFormat="1" ht="27" outlineLevel="1">
      <c r="A1174" s="5" t="s">
        <v>1162</v>
      </c>
      <c r="B1174" s="293">
        <v>91924</v>
      </c>
      <c r="C1174" s="5" t="s">
        <v>18</v>
      </c>
      <c r="D1174" s="97" t="s">
        <v>293</v>
      </c>
      <c r="E1174" s="64" t="s">
        <v>115</v>
      </c>
      <c r="F1174" s="64">
        <v>200</v>
      </c>
      <c r="G1174" s="98"/>
      <c r="H1174" s="249">
        <f t="shared" si="317"/>
        <v>0</v>
      </c>
      <c r="I1174" s="251">
        <f t="shared" si="318"/>
        <v>0</v>
      </c>
      <c r="J1174" s="74" t="e">
        <f t="shared" si="319"/>
        <v>#DIV/0!</v>
      </c>
    </row>
    <row r="1175" spans="1:10" s="100" customFormat="1" ht="27" outlineLevel="1">
      <c r="A1175" s="5" t="s">
        <v>1163</v>
      </c>
      <c r="B1175" s="293">
        <v>91924</v>
      </c>
      <c r="C1175" s="5" t="s">
        <v>18</v>
      </c>
      <c r="D1175" s="97" t="s">
        <v>294</v>
      </c>
      <c r="E1175" s="64" t="s">
        <v>115</v>
      </c>
      <c r="F1175" s="64">
        <v>1500</v>
      </c>
      <c r="G1175" s="98"/>
      <c r="H1175" s="249">
        <f t="shared" si="317"/>
        <v>0</v>
      </c>
      <c r="I1175" s="251">
        <f t="shared" si="318"/>
        <v>0</v>
      </c>
      <c r="J1175" s="74" t="e">
        <f t="shared" si="319"/>
        <v>#DIV/0!</v>
      </c>
    </row>
    <row r="1176" spans="1:10" s="100" customFormat="1" ht="27" outlineLevel="1">
      <c r="A1176" s="5" t="s">
        <v>1164</v>
      </c>
      <c r="B1176" s="293">
        <v>91926</v>
      </c>
      <c r="C1176" s="5" t="s">
        <v>18</v>
      </c>
      <c r="D1176" s="97" t="s">
        <v>295</v>
      </c>
      <c r="E1176" s="64" t="s">
        <v>115</v>
      </c>
      <c r="F1176" s="64">
        <v>1500</v>
      </c>
      <c r="G1176" s="98"/>
      <c r="H1176" s="249">
        <f t="shared" si="317"/>
        <v>0</v>
      </c>
      <c r="I1176" s="251">
        <f t="shared" si="318"/>
        <v>0</v>
      </c>
      <c r="J1176" s="74" t="e">
        <f t="shared" si="319"/>
        <v>#DIV/0!</v>
      </c>
    </row>
    <row r="1177" spans="1:10" s="100" customFormat="1" ht="27" outlineLevel="1">
      <c r="A1177" s="5" t="s">
        <v>1165</v>
      </c>
      <c r="B1177" s="293">
        <v>91926</v>
      </c>
      <c r="C1177" s="5" t="s">
        <v>18</v>
      </c>
      <c r="D1177" s="97" t="s">
        <v>296</v>
      </c>
      <c r="E1177" s="64" t="s">
        <v>115</v>
      </c>
      <c r="F1177" s="64">
        <v>350</v>
      </c>
      <c r="G1177" s="98"/>
      <c r="H1177" s="249">
        <f t="shared" si="317"/>
        <v>0</v>
      </c>
      <c r="I1177" s="251">
        <f t="shared" si="318"/>
        <v>0</v>
      </c>
      <c r="J1177" s="74" t="e">
        <f t="shared" si="319"/>
        <v>#DIV/0!</v>
      </c>
    </row>
    <row r="1178" spans="1:10" s="100" customFormat="1" ht="27" outlineLevel="1">
      <c r="A1178" s="5" t="s">
        <v>1166</v>
      </c>
      <c r="B1178" s="293">
        <v>91926</v>
      </c>
      <c r="C1178" s="5" t="s">
        <v>18</v>
      </c>
      <c r="D1178" s="97" t="s">
        <v>297</v>
      </c>
      <c r="E1178" s="64" t="s">
        <v>115</v>
      </c>
      <c r="F1178" s="64">
        <v>800</v>
      </c>
      <c r="G1178" s="98"/>
      <c r="H1178" s="249">
        <f t="shared" si="317"/>
        <v>0</v>
      </c>
      <c r="I1178" s="251">
        <f t="shared" si="318"/>
        <v>0</v>
      </c>
      <c r="J1178" s="74" t="e">
        <f t="shared" si="319"/>
        <v>#DIV/0!</v>
      </c>
    </row>
    <row r="1179" spans="1:10" s="100" customFormat="1" ht="27" outlineLevel="1">
      <c r="A1179" s="5" t="s">
        <v>1167</v>
      </c>
      <c r="B1179" s="293">
        <v>91928</v>
      </c>
      <c r="C1179" s="5" t="s">
        <v>18</v>
      </c>
      <c r="D1179" s="97" t="s">
        <v>298</v>
      </c>
      <c r="E1179" s="64" t="s">
        <v>115</v>
      </c>
      <c r="F1179" s="64">
        <v>200</v>
      </c>
      <c r="G1179" s="98"/>
      <c r="H1179" s="249">
        <f t="shared" si="317"/>
        <v>0</v>
      </c>
      <c r="I1179" s="251">
        <f t="shared" si="318"/>
        <v>0</v>
      </c>
      <c r="J1179" s="74" t="e">
        <f t="shared" si="319"/>
        <v>#DIV/0!</v>
      </c>
    </row>
    <row r="1180" spans="1:10" s="100" customFormat="1" ht="27" outlineLevel="1">
      <c r="A1180" s="5" t="s">
        <v>1168</v>
      </c>
      <c r="B1180" s="293">
        <v>91928</v>
      </c>
      <c r="C1180" s="5" t="s">
        <v>18</v>
      </c>
      <c r="D1180" s="97" t="s">
        <v>299</v>
      </c>
      <c r="E1180" s="64" t="s">
        <v>115</v>
      </c>
      <c r="F1180" s="64">
        <v>350</v>
      </c>
      <c r="G1180" s="98"/>
      <c r="H1180" s="249">
        <f t="shared" si="317"/>
        <v>0</v>
      </c>
      <c r="I1180" s="251">
        <f t="shared" si="318"/>
        <v>0</v>
      </c>
      <c r="J1180" s="74" t="e">
        <f t="shared" si="319"/>
        <v>#DIV/0!</v>
      </c>
    </row>
    <row r="1181" spans="1:10" s="100" customFormat="1" ht="27" outlineLevel="1">
      <c r="A1181" s="5" t="s">
        <v>1169</v>
      </c>
      <c r="B1181" s="293">
        <v>91928</v>
      </c>
      <c r="C1181" s="5" t="s">
        <v>18</v>
      </c>
      <c r="D1181" s="97" t="s">
        <v>300</v>
      </c>
      <c r="E1181" s="64" t="s">
        <v>115</v>
      </c>
      <c r="F1181" s="64">
        <v>350</v>
      </c>
      <c r="G1181" s="98"/>
      <c r="H1181" s="249">
        <f t="shared" si="317"/>
        <v>0</v>
      </c>
      <c r="I1181" s="251">
        <f t="shared" si="318"/>
        <v>0</v>
      </c>
      <c r="J1181" s="74" t="e">
        <f t="shared" si="319"/>
        <v>#DIV/0!</v>
      </c>
    </row>
    <row r="1182" spans="1:10" s="100" customFormat="1" ht="27" outlineLevel="1">
      <c r="A1182" s="5" t="s">
        <v>1170</v>
      </c>
      <c r="B1182" s="293">
        <v>91931</v>
      </c>
      <c r="C1182" s="5" t="s">
        <v>18</v>
      </c>
      <c r="D1182" s="97" t="s">
        <v>301</v>
      </c>
      <c r="E1182" s="64" t="s">
        <v>115</v>
      </c>
      <c r="F1182" s="64">
        <v>380</v>
      </c>
      <c r="G1182" s="98"/>
      <c r="H1182" s="249">
        <f t="shared" si="317"/>
        <v>0</v>
      </c>
      <c r="I1182" s="251">
        <f t="shared" si="318"/>
        <v>0</v>
      </c>
      <c r="J1182" s="74" t="e">
        <f t="shared" si="319"/>
        <v>#DIV/0!</v>
      </c>
    </row>
    <row r="1183" spans="1:10" s="100" customFormat="1" ht="27" outlineLevel="1">
      <c r="A1183" s="5" t="s">
        <v>1171</v>
      </c>
      <c r="B1183" s="293">
        <v>91931</v>
      </c>
      <c r="C1183" s="5" t="s">
        <v>18</v>
      </c>
      <c r="D1183" s="97" t="s">
        <v>302</v>
      </c>
      <c r="E1183" s="64" t="s">
        <v>115</v>
      </c>
      <c r="F1183" s="64">
        <v>280</v>
      </c>
      <c r="G1183" s="98"/>
      <c r="H1183" s="249">
        <f t="shared" si="317"/>
        <v>0</v>
      </c>
      <c r="I1183" s="251">
        <f t="shared" si="318"/>
        <v>0</v>
      </c>
      <c r="J1183" s="74" t="e">
        <f t="shared" si="319"/>
        <v>#DIV/0!</v>
      </c>
    </row>
    <row r="1184" spans="1:10" s="100" customFormat="1" ht="27" outlineLevel="1">
      <c r="A1184" s="5" t="s">
        <v>1172</v>
      </c>
      <c r="B1184" s="293">
        <v>91931</v>
      </c>
      <c r="C1184" s="5" t="s">
        <v>18</v>
      </c>
      <c r="D1184" s="97" t="s">
        <v>303</v>
      </c>
      <c r="E1184" s="64" t="s">
        <v>115</v>
      </c>
      <c r="F1184" s="64">
        <v>380</v>
      </c>
      <c r="G1184" s="98"/>
      <c r="H1184" s="249">
        <f t="shared" si="317"/>
        <v>0</v>
      </c>
      <c r="I1184" s="251">
        <f t="shared" si="318"/>
        <v>0</v>
      </c>
      <c r="J1184" s="74" t="e">
        <f t="shared" si="319"/>
        <v>#DIV/0!</v>
      </c>
    </row>
    <row r="1185" spans="1:11" s="100" customFormat="1" ht="27" outlineLevel="1">
      <c r="A1185" s="5" t="s">
        <v>1173</v>
      </c>
      <c r="B1185" s="293">
        <v>92979</v>
      </c>
      <c r="C1185" s="5" t="s">
        <v>18</v>
      </c>
      <c r="D1185" s="97" t="s">
        <v>304</v>
      </c>
      <c r="E1185" s="64" t="s">
        <v>115</v>
      </c>
      <c r="F1185" s="64">
        <v>180</v>
      </c>
      <c r="G1185" s="98"/>
      <c r="H1185" s="249">
        <f t="shared" si="317"/>
        <v>0</v>
      </c>
      <c r="I1185" s="251">
        <f t="shared" si="318"/>
        <v>0</v>
      </c>
      <c r="J1185" s="74" t="e">
        <f t="shared" si="319"/>
        <v>#DIV/0!</v>
      </c>
    </row>
    <row r="1186" spans="1:11" s="100" customFormat="1" ht="27" outlineLevel="1">
      <c r="A1186" s="5" t="s">
        <v>1174</v>
      </c>
      <c r="B1186" s="293">
        <v>92979</v>
      </c>
      <c r="C1186" s="5" t="s">
        <v>18</v>
      </c>
      <c r="D1186" s="97" t="s">
        <v>305</v>
      </c>
      <c r="E1186" s="64" t="s">
        <v>115</v>
      </c>
      <c r="F1186" s="64">
        <v>200</v>
      </c>
      <c r="G1186" s="98"/>
      <c r="H1186" s="249">
        <f t="shared" si="317"/>
        <v>0</v>
      </c>
      <c r="I1186" s="251">
        <f t="shared" si="318"/>
        <v>0</v>
      </c>
      <c r="J1186" s="74" t="e">
        <f t="shared" si="319"/>
        <v>#DIV/0!</v>
      </c>
    </row>
    <row r="1187" spans="1:11" s="100" customFormat="1" ht="27" outlineLevel="1">
      <c r="A1187" s="5" t="s">
        <v>1175</v>
      </c>
      <c r="B1187" s="293">
        <v>92979</v>
      </c>
      <c r="C1187" s="5" t="s">
        <v>18</v>
      </c>
      <c r="D1187" s="97" t="s">
        <v>306</v>
      </c>
      <c r="E1187" s="64" t="s">
        <v>115</v>
      </c>
      <c r="F1187" s="64">
        <v>160</v>
      </c>
      <c r="G1187" s="98"/>
      <c r="H1187" s="249">
        <f t="shared" si="317"/>
        <v>0</v>
      </c>
      <c r="I1187" s="251">
        <f t="shared" si="318"/>
        <v>0</v>
      </c>
      <c r="J1187" s="74" t="e">
        <f t="shared" si="319"/>
        <v>#DIV/0!</v>
      </c>
    </row>
    <row r="1188" spans="1:11" s="100" customFormat="1" ht="27" outlineLevel="1">
      <c r="A1188" s="5" t="s">
        <v>1176</v>
      </c>
      <c r="B1188" s="293">
        <v>92981</v>
      </c>
      <c r="C1188" s="5" t="s">
        <v>18</v>
      </c>
      <c r="D1188" s="97" t="s">
        <v>307</v>
      </c>
      <c r="E1188" s="64" t="s">
        <v>115</v>
      </c>
      <c r="F1188" s="64">
        <v>40</v>
      </c>
      <c r="G1188" s="98"/>
      <c r="H1188" s="249">
        <f t="shared" si="317"/>
        <v>0</v>
      </c>
      <c r="I1188" s="251">
        <f t="shared" si="318"/>
        <v>0</v>
      </c>
      <c r="J1188" s="74" t="e">
        <f t="shared" si="319"/>
        <v>#DIV/0!</v>
      </c>
      <c r="K1188" s="279"/>
    </row>
    <row r="1189" spans="1:11">
      <c r="A1189" s="390" t="s">
        <v>1325</v>
      </c>
      <c r="B1189" s="390"/>
      <c r="C1189" s="390"/>
      <c r="D1189" s="390"/>
      <c r="E1189" s="390"/>
      <c r="F1189" s="390"/>
      <c r="G1189" s="390"/>
      <c r="H1189" s="390"/>
      <c r="I1189" s="177">
        <f>SUM(I1165:I1188)</f>
        <v>0</v>
      </c>
      <c r="J1189" s="144" t="e">
        <f>SUM(J1165:J1188)</f>
        <v>#DIV/0!</v>
      </c>
    </row>
    <row r="1190" spans="1:11">
      <c r="A1190" s="390" t="s">
        <v>1320</v>
      </c>
      <c r="B1190" s="390"/>
      <c r="C1190" s="390"/>
      <c r="D1190" s="390"/>
      <c r="E1190" s="390"/>
      <c r="F1190" s="390"/>
      <c r="G1190" s="390"/>
      <c r="H1190" s="390"/>
      <c r="I1190" s="220">
        <f>I1156+I1163+I1189</f>
        <v>0</v>
      </c>
      <c r="J1190" s="144" t="e">
        <f>J1156+J1163+J1189</f>
        <v>#DIV/0!</v>
      </c>
      <c r="K1190" s="318" t="e">
        <f>I1190/$I$1236</f>
        <v>#DIV/0!</v>
      </c>
    </row>
    <row r="1191" spans="1:11" ht="15.75" customHeight="1">
      <c r="A1191" s="61" t="s">
        <v>1326</v>
      </c>
      <c r="B1191" s="59"/>
      <c r="C1191" s="59"/>
      <c r="D1191" s="77" t="s">
        <v>161</v>
      </c>
      <c r="E1191" s="78"/>
      <c r="F1191" s="78"/>
      <c r="G1191" s="181"/>
      <c r="H1191" s="181"/>
      <c r="I1191" s="181"/>
      <c r="J1191" s="79"/>
    </row>
    <row r="1192" spans="1:11" s="100" customFormat="1" outlineLevel="1">
      <c r="A1192" s="5" t="s">
        <v>1327</v>
      </c>
      <c r="B1192" s="67" t="s">
        <v>10</v>
      </c>
      <c r="C1192" s="67" t="e">
        <f>#REF!</f>
        <v>#REF!</v>
      </c>
      <c r="D1192" s="340" t="e">
        <f>#REF!</f>
        <v>#REF!</v>
      </c>
      <c r="E1192" s="64" t="s">
        <v>317</v>
      </c>
      <c r="F1192" s="99">
        <f>F1193+F1194</f>
        <v>148</v>
      </c>
      <c r="G1192" s="98"/>
      <c r="H1192" s="337">
        <f t="shared" si="317"/>
        <v>0</v>
      </c>
      <c r="I1192" s="338">
        <f t="shared" si="318"/>
        <v>0</v>
      </c>
      <c r="J1192" s="74" t="e">
        <f>I1192/$I$1421</f>
        <v>#DIV/0!</v>
      </c>
    </row>
    <row r="1193" spans="1:11" s="100" customFormat="1" ht="15.95" customHeight="1" outlineLevel="1">
      <c r="A1193" s="5" t="s">
        <v>1328</v>
      </c>
      <c r="B1193" s="293" t="s">
        <v>323</v>
      </c>
      <c r="C1193" s="293" t="s">
        <v>314</v>
      </c>
      <c r="D1193" s="97" t="s">
        <v>324</v>
      </c>
      <c r="E1193" s="66" t="s">
        <v>221</v>
      </c>
      <c r="F1193" s="64">
        <v>140</v>
      </c>
      <c r="G1193" s="98"/>
      <c r="H1193" s="249">
        <f t="shared" si="317"/>
        <v>0</v>
      </c>
      <c r="I1193" s="251">
        <f t="shared" si="318"/>
        <v>0</v>
      </c>
      <c r="J1193" s="74" t="e">
        <f>I1193/$I$1421</f>
        <v>#DIV/0!</v>
      </c>
    </row>
    <row r="1194" spans="1:11" s="100" customFormat="1" ht="15.95" customHeight="1" outlineLevel="1">
      <c r="A1194" s="5" t="s">
        <v>1329</v>
      </c>
      <c r="B1194" s="5" t="s">
        <v>325</v>
      </c>
      <c r="C1194" s="293" t="s">
        <v>314</v>
      </c>
      <c r="D1194" s="106" t="s">
        <v>326</v>
      </c>
      <c r="E1194" s="66" t="s">
        <v>221</v>
      </c>
      <c r="F1194" s="64">
        <v>8</v>
      </c>
      <c r="G1194" s="98"/>
      <c r="H1194" s="249">
        <f t="shared" si="317"/>
        <v>0</v>
      </c>
      <c r="I1194" s="251">
        <f t="shared" si="318"/>
        <v>0</v>
      </c>
      <c r="J1194" s="74" t="e">
        <f>I1194/$I$1421</f>
        <v>#DIV/0!</v>
      </c>
    </row>
    <row r="1195" spans="1:11">
      <c r="A1195" s="390" t="s">
        <v>1330</v>
      </c>
      <c r="B1195" s="390"/>
      <c r="C1195" s="390"/>
      <c r="D1195" s="390"/>
      <c r="E1195" s="390"/>
      <c r="F1195" s="390"/>
      <c r="G1195" s="390"/>
      <c r="H1195" s="390"/>
      <c r="I1195" s="220">
        <f>SUM(I1192:I1194)</f>
        <v>0</v>
      </c>
      <c r="J1195" s="144" t="e">
        <f>SUM(J1192:J1194)</f>
        <v>#DIV/0!</v>
      </c>
      <c r="K1195" s="318" t="e">
        <f>I1195/$I$1236</f>
        <v>#DIV/0!</v>
      </c>
    </row>
    <row r="1196" spans="1:11" ht="15.75" customHeight="1">
      <c r="A1196" s="70" t="s">
        <v>1331</v>
      </c>
      <c r="B1196" s="60"/>
      <c r="C1196" s="60"/>
      <c r="D1196" s="77" t="s">
        <v>162</v>
      </c>
      <c r="E1196" s="78"/>
      <c r="F1196" s="78"/>
      <c r="G1196" s="181"/>
      <c r="H1196" s="181"/>
      <c r="I1196" s="181"/>
      <c r="J1196" s="79"/>
    </row>
    <row r="1197" spans="1:11" s="100" customFormat="1" ht="27" outlineLevel="1">
      <c r="A1197" s="5" t="s">
        <v>1332</v>
      </c>
      <c r="B1197" s="293">
        <v>101890</v>
      </c>
      <c r="C1197" s="293" t="s">
        <v>18</v>
      </c>
      <c r="D1197" s="97" t="s">
        <v>327</v>
      </c>
      <c r="E1197" s="66" t="s">
        <v>221</v>
      </c>
      <c r="F1197" s="64">
        <f>1+23+8+7</f>
        <v>39</v>
      </c>
      <c r="G1197" s="98"/>
      <c r="H1197" s="249">
        <f t="shared" si="317"/>
        <v>0</v>
      </c>
      <c r="I1197" s="251">
        <f t="shared" si="318"/>
        <v>0</v>
      </c>
      <c r="J1197" s="74" t="e">
        <f>I1197/$I$1421</f>
        <v>#DIV/0!</v>
      </c>
    </row>
    <row r="1198" spans="1:11" s="100" customFormat="1" ht="27" outlineLevel="1">
      <c r="A1198" s="5" t="s">
        <v>1333</v>
      </c>
      <c r="B1198" s="293">
        <v>101892</v>
      </c>
      <c r="C1198" s="293" t="s">
        <v>18</v>
      </c>
      <c r="D1198" s="97" t="s">
        <v>328</v>
      </c>
      <c r="E1198" s="66" t="s">
        <v>221</v>
      </c>
      <c r="F1198" s="64">
        <f>4+1</f>
        <v>5</v>
      </c>
      <c r="G1198" s="98"/>
      <c r="H1198" s="249">
        <f t="shared" si="317"/>
        <v>0</v>
      </c>
      <c r="I1198" s="251">
        <f t="shared" si="318"/>
        <v>0</v>
      </c>
      <c r="J1198" s="74" t="e">
        <f>I1198/$I$1421</f>
        <v>#DIV/0!</v>
      </c>
    </row>
    <row r="1199" spans="1:11" s="100" customFormat="1" ht="27" outlineLevel="1">
      <c r="A1199" s="5" t="s">
        <v>1334</v>
      </c>
      <c r="B1199" s="293">
        <v>101893</v>
      </c>
      <c r="C1199" s="293" t="s">
        <v>18</v>
      </c>
      <c r="D1199" s="97" t="s">
        <v>329</v>
      </c>
      <c r="E1199" s="66" t="s">
        <v>221</v>
      </c>
      <c r="F1199" s="64">
        <v>2</v>
      </c>
      <c r="G1199" s="98"/>
      <c r="H1199" s="249">
        <f t="shared" si="317"/>
        <v>0</v>
      </c>
      <c r="I1199" s="251">
        <f t="shared" si="318"/>
        <v>0</v>
      </c>
      <c r="J1199" s="74" t="e">
        <f>I1199/$I$1421</f>
        <v>#DIV/0!</v>
      </c>
    </row>
    <row r="1200" spans="1:11" s="100" customFormat="1" ht="27" outlineLevel="1">
      <c r="A1200" s="5" t="s">
        <v>1335</v>
      </c>
      <c r="B1200" s="293">
        <v>101894</v>
      </c>
      <c r="C1200" s="293" t="s">
        <v>18</v>
      </c>
      <c r="D1200" s="97" t="s">
        <v>330</v>
      </c>
      <c r="E1200" s="66" t="s">
        <v>221</v>
      </c>
      <c r="F1200" s="64">
        <v>7</v>
      </c>
      <c r="G1200" s="98"/>
      <c r="H1200" s="249">
        <f t="shared" si="317"/>
        <v>0</v>
      </c>
      <c r="I1200" s="251">
        <f t="shared" si="318"/>
        <v>0</v>
      </c>
      <c r="J1200" s="74" t="e">
        <f>I1200/$I$1421</f>
        <v>#DIV/0!</v>
      </c>
    </row>
    <row r="1201" spans="1:11">
      <c r="A1201" s="390" t="s">
        <v>1336</v>
      </c>
      <c r="B1201" s="390"/>
      <c r="C1201" s="390"/>
      <c r="D1201" s="390"/>
      <c r="E1201" s="390"/>
      <c r="F1201" s="390"/>
      <c r="G1201" s="390"/>
      <c r="H1201" s="390"/>
      <c r="I1201" s="220">
        <f>SUM(I1197:I1200)</f>
        <v>0</v>
      </c>
      <c r="J1201" s="144" t="e">
        <f>SUM(J1197:J1200)</f>
        <v>#DIV/0!</v>
      </c>
      <c r="K1201" s="318" t="e">
        <f>I1201/$I$1236</f>
        <v>#DIV/0!</v>
      </c>
    </row>
    <row r="1202" spans="1:11" ht="15.75" customHeight="1">
      <c r="A1202" s="61" t="s">
        <v>1337</v>
      </c>
      <c r="B1202" s="59"/>
      <c r="C1202" s="59"/>
      <c r="D1202" s="77" t="s">
        <v>163</v>
      </c>
      <c r="E1202" s="78"/>
      <c r="F1202" s="78"/>
      <c r="G1202" s="181"/>
      <c r="H1202" s="181"/>
      <c r="I1202" s="181"/>
      <c r="J1202" s="79"/>
    </row>
    <row r="1203" spans="1:11" s="100" customFormat="1" ht="15.95" customHeight="1" outlineLevel="1">
      <c r="A1203" s="5" t="s">
        <v>1338</v>
      </c>
      <c r="B1203" s="293" t="s">
        <v>331</v>
      </c>
      <c r="C1203" s="293" t="s">
        <v>332</v>
      </c>
      <c r="D1203" s="97" t="s">
        <v>333</v>
      </c>
      <c r="E1203" s="66" t="s">
        <v>317</v>
      </c>
      <c r="F1203" s="64">
        <v>186</v>
      </c>
      <c r="G1203" s="98" t="s">
        <v>10</v>
      </c>
      <c r="H1203" s="249"/>
      <c r="I1203" s="251">
        <f t="shared" ref="I1203:I1209" si="320">F1203*H1203</f>
        <v>0</v>
      </c>
      <c r="J1203" s="74" t="e">
        <f t="shared" ref="J1203:J1209" si="321">I1203/$I$1421</f>
        <v>#DIV/0!</v>
      </c>
    </row>
    <row r="1204" spans="1:11" s="100" customFormat="1" ht="15.95" customHeight="1" outlineLevel="1">
      <c r="A1204" s="5" t="s">
        <v>1339</v>
      </c>
      <c r="B1204" s="293" t="s">
        <v>334</v>
      </c>
      <c r="C1204" s="293" t="s">
        <v>332</v>
      </c>
      <c r="D1204" s="97" t="s">
        <v>335</v>
      </c>
      <c r="E1204" s="66" t="s">
        <v>317</v>
      </c>
      <c r="F1204" s="64">
        <v>3</v>
      </c>
      <c r="G1204" s="98" t="s">
        <v>10</v>
      </c>
      <c r="H1204" s="249"/>
      <c r="I1204" s="251">
        <f t="shared" si="320"/>
        <v>0</v>
      </c>
      <c r="J1204" s="74" t="e">
        <f t="shared" si="321"/>
        <v>#DIV/0!</v>
      </c>
    </row>
    <row r="1205" spans="1:11" s="100" customFormat="1" ht="15.95" customHeight="1" outlineLevel="1">
      <c r="A1205" s="5" t="s">
        <v>1340</v>
      </c>
      <c r="B1205" s="293" t="s">
        <v>336</v>
      </c>
      <c r="C1205" s="293" t="s">
        <v>314</v>
      </c>
      <c r="D1205" s="97" t="s">
        <v>337</v>
      </c>
      <c r="E1205" s="66" t="s">
        <v>317</v>
      </c>
      <c r="F1205" s="64">
        <v>12</v>
      </c>
      <c r="G1205" s="98"/>
      <c r="H1205" s="249">
        <f t="shared" ref="H1205:H1234" si="322">TRUNC((G1205*(1+$I$12)),2)</f>
        <v>0</v>
      </c>
      <c r="I1205" s="251">
        <f t="shared" si="320"/>
        <v>0</v>
      </c>
      <c r="J1205" s="74" t="e">
        <f t="shared" si="321"/>
        <v>#DIV/0!</v>
      </c>
    </row>
    <row r="1206" spans="1:11" s="100" customFormat="1" ht="27" outlineLevel="1">
      <c r="A1206" s="5" t="s">
        <v>1341</v>
      </c>
      <c r="B1206" s="293">
        <v>91953</v>
      </c>
      <c r="C1206" s="293" t="s">
        <v>18</v>
      </c>
      <c r="D1206" s="97" t="s">
        <v>338</v>
      </c>
      <c r="E1206" s="66" t="s">
        <v>317</v>
      </c>
      <c r="F1206" s="64">
        <v>20</v>
      </c>
      <c r="G1206" s="98"/>
      <c r="H1206" s="249">
        <f t="shared" si="322"/>
        <v>0</v>
      </c>
      <c r="I1206" s="251">
        <f t="shared" si="320"/>
        <v>0</v>
      </c>
      <c r="J1206" s="74" t="e">
        <f t="shared" si="321"/>
        <v>#DIV/0!</v>
      </c>
    </row>
    <row r="1207" spans="1:11" s="100" customFormat="1" ht="27" outlineLevel="1">
      <c r="A1207" s="5" t="s">
        <v>1342</v>
      </c>
      <c r="B1207" s="293">
        <v>91959</v>
      </c>
      <c r="C1207" s="293" t="s">
        <v>18</v>
      </c>
      <c r="D1207" s="97" t="s">
        <v>339</v>
      </c>
      <c r="E1207" s="66" t="s">
        <v>317</v>
      </c>
      <c r="F1207" s="64">
        <v>11</v>
      </c>
      <c r="G1207" s="98"/>
      <c r="H1207" s="249">
        <f t="shared" si="322"/>
        <v>0</v>
      </c>
      <c r="I1207" s="251">
        <f t="shared" si="320"/>
        <v>0</v>
      </c>
      <c r="J1207" s="74" t="e">
        <f t="shared" si="321"/>
        <v>#DIV/0!</v>
      </c>
    </row>
    <row r="1208" spans="1:11" s="100" customFormat="1" ht="27" outlineLevel="1">
      <c r="A1208" s="5" t="s">
        <v>1343</v>
      </c>
      <c r="B1208" s="293">
        <v>91967</v>
      </c>
      <c r="C1208" s="293" t="s">
        <v>18</v>
      </c>
      <c r="D1208" s="97" t="s">
        <v>340</v>
      </c>
      <c r="E1208" s="66" t="s">
        <v>317</v>
      </c>
      <c r="F1208" s="64">
        <v>2</v>
      </c>
      <c r="G1208" s="98"/>
      <c r="H1208" s="249">
        <f t="shared" si="322"/>
        <v>0</v>
      </c>
      <c r="I1208" s="251">
        <f t="shared" si="320"/>
        <v>0</v>
      </c>
      <c r="J1208" s="74" t="e">
        <f t="shared" si="321"/>
        <v>#DIV/0!</v>
      </c>
    </row>
    <row r="1209" spans="1:11" s="100" customFormat="1" ht="15.95" customHeight="1" outlineLevel="1">
      <c r="A1209" s="5" t="s">
        <v>1344</v>
      </c>
      <c r="B1209" s="293" t="s">
        <v>10</v>
      </c>
      <c r="C1209" s="293" t="e">
        <f>#REF!</f>
        <v>#REF!</v>
      </c>
      <c r="D1209" s="97" t="e">
        <f>#REF!</f>
        <v>#REF!</v>
      </c>
      <c r="E1209" s="66" t="s">
        <v>341</v>
      </c>
      <c r="F1209" s="64">
        <v>20</v>
      </c>
      <c r="G1209" s="98"/>
      <c r="H1209" s="337">
        <f t="shared" si="322"/>
        <v>0</v>
      </c>
      <c r="I1209" s="338">
        <f t="shared" si="320"/>
        <v>0</v>
      </c>
      <c r="J1209" s="74" t="e">
        <f t="shared" si="321"/>
        <v>#DIV/0!</v>
      </c>
    </row>
    <row r="1210" spans="1:11">
      <c r="A1210" s="390" t="s">
        <v>1345</v>
      </c>
      <c r="B1210" s="390"/>
      <c r="C1210" s="390"/>
      <c r="D1210" s="390"/>
      <c r="E1210" s="390"/>
      <c r="F1210" s="390"/>
      <c r="G1210" s="390"/>
      <c r="H1210" s="390"/>
      <c r="I1210" s="220">
        <f>SUM(I1203:I1209)</f>
        <v>0</v>
      </c>
      <c r="J1210" s="144" t="e">
        <f>SUM(J1203:J1209)</f>
        <v>#DIV/0!</v>
      </c>
      <c r="K1210" s="318" t="e">
        <f>I1210/$I$1236</f>
        <v>#DIV/0!</v>
      </c>
    </row>
    <row r="1211" spans="1:11" ht="15.75" customHeight="1">
      <c r="A1211" s="61" t="s">
        <v>1346</v>
      </c>
      <c r="B1211" s="59"/>
      <c r="C1211" s="59"/>
      <c r="D1211" s="77" t="s">
        <v>164</v>
      </c>
      <c r="E1211" s="78"/>
      <c r="F1211" s="78"/>
      <c r="G1211" s="181"/>
      <c r="H1211" s="181"/>
      <c r="I1211" s="181"/>
      <c r="J1211" s="79"/>
    </row>
    <row r="1212" spans="1:11" s="100" customFormat="1" ht="27" outlineLevel="1">
      <c r="A1212" s="5" t="s">
        <v>1347</v>
      </c>
      <c r="B1212" s="293">
        <v>101882</v>
      </c>
      <c r="C1212" s="293" t="s">
        <v>18</v>
      </c>
      <c r="D1212" s="97" t="s">
        <v>342</v>
      </c>
      <c r="E1212" s="66" t="s">
        <v>317</v>
      </c>
      <c r="F1212" s="64">
        <v>4</v>
      </c>
      <c r="G1212" s="98"/>
      <c r="H1212" s="249">
        <f t="shared" si="322"/>
        <v>0</v>
      </c>
      <c r="I1212" s="251">
        <f t="shared" ref="I1212" si="323">F1212*H1212</f>
        <v>0</v>
      </c>
      <c r="J1212" s="74" t="e">
        <f>I1212/$I$1421</f>
        <v>#DIV/0!</v>
      </c>
    </row>
    <row r="1213" spans="1:11">
      <c r="A1213" s="390" t="s">
        <v>1348</v>
      </c>
      <c r="B1213" s="390"/>
      <c r="C1213" s="390"/>
      <c r="D1213" s="390"/>
      <c r="E1213" s="390"/>
      <c r="F1213" s="390"/>
      <c r="G1213" s="390"/>
      <c r="H1213" s="390"/>
      <c r="I1213" s="220">
        <f>I1212</f>
        <v>0</v>
      </c>
      <c r="J1213" s="144" t="e">
        <f>J1212</f>
        <v>#DIV/0!</v>
      </c>
      <c r="K1213" s="318" t="e">
        <f>I1213/$I$1236</f>
        <v>#DIV/0!</v>
      </c>
    </row>
    <row r="1214" spans="1:11" ht="15.75" customHeight="1">
      <c r="A1214" s="61" t="s">
        <v>1349</v>
      </c>
      <c r="B1214" s="59"/>
      <c r="C1214" s="59"/>
      <c r="D1214" s="77" t="s">
        <v>372</v>
      </c>
      <c r="E1214" s="78"/>
      <c r="F1214" s="78"/>
      <c r="G1214" s="181"/>
      <c r="H1214" s="181"/>
      <c r="I1214" s="181"/>
      <c r="J1214" s="79"/>
    </row>
    <row r="1215" spans="1:11" s="100" customFormat="1" ht="15.95" customHeight="1" outlineLevel="1">
      <c r="A1215" s="5" t="s">
        <v>1351</v>
      </c>
      <c r="B1215" s="294" t="s">
        <v>343</v>
      </c>
      <c r="C1215" s="293" t="s">
        <v>314</v>
      </c>
      <c r="D1215" s="97" t="s">
        <v>344</v>
      </c>
      <c r="E1215" s="66" t="s">
        <v>115</v>
      </c>
      <c r="F1215" s="64">
        <v>480</v>
      </c>
      <c r="G1215" s="98"/>
      <c r="H1215" s="249">
        <f t="shared" si="322"/>
        <v>0</v>
      </c>
      <c r="I1215" s="251">
        <f t="shared" ref="I1215:I1222" si="324">F1215*H1215</f>
        <v>0</v>
      </c>
      <c r="J1215" s="74" t="e">
        <f t="shared" ref="J1215:J1222" si="325">I1215/$I$1421</f>
        <v>#DIV/0!</v>
      </c>
    </row>
    <row r="1216" spans="1:11" s="100" customFormat="1" ht="15.95" customHeight="1" outlineLevel="1">
      <c r="A1216" s="5" t="s">
        <v>1352</v>
      </c>
      <c r="B1216" s="294" t="s">
        <v>345</v>
      </c>
      <c r="C1216" s="293" t="s">
        <v>314</v>
      </c>
      <c r="D1216" s="97" t="s">
        <v>346</v>
      </c>
      <c r="E1216" s="66" t="s">
        <v>115</v>
      </c>
      <c r="F1216" s="64">
        <v>800</v>
      </c>
      <c r="G1216" s="98"/>
      <c r="H1216" s="249">
        <f t="shared" si="322"/>
        <v>0</v>
      </c>
      <c r="I1216" s="251">
        <f t="shared" si="324"/>
        <v>0</v>
      </c>
      <c r="J1216" s="74" t="e">
        <f t="shared" si="325"/>
        <v>#DIV/0!</v>
      </c>
    </row>
    <row r="1217" spans="1:11" s="100" customFormat="1" ht="15.95" customHeight="1" outlineLevel="1">
      <c r="A1217" s="5" t="s">
        <v>1353</v>
      </c>
      <c r="B1217" s="293" t="s">
        <v>347</v>
      </c>
      <c r="C1217" s="293" t="s">
        <v>314</v>
      </c>
      <c r="D1217" s="97" t="s">
        <v>348</v>
      </c>
      <c r="E1217" s="66" t="s">
        <v>221</v>
      </c>
      <c r="F1217" s="64">
        <v>1</v>
      </c>
      <c r="G1217" s="98"/>
      <c r="H1217" s="249">
        <f t="shared" si="322"/>
        <v>0</v>
      </c>
      <c r="I1217" s="251">
        <f t="shared" si="324"/>
        <v>0</v>
      </c>
      <c r="J1217" s="74" t="e">
        <f t="shared" si="325"/>
        <v>#DIV/0!</v>
      </c>
    </row>
    <row r="1218" spans="1:11" s="100" customFormat="1" ht="15.95" customHeight="1" outlineLevel="1">
      <c r="A1218" s="5" t="s">
        <v>1354</v>
      </c>
      <c r="B1218" s="293" t="s">
        <v>349</v>
      </c>
      <c r="C1218" s="293" t="s">
        <v>314</v>
      </c>
      <c r="D1218" s="97" t="s">
        <v>350</v>
      </c>
      <c r="E1218" s="66" t="s">
        <v>221</v>
      </c>
      <c r="F1218" s="64">
        <v>28</v>
      </c>
      <c r="G1218" s="98"/>
      <c r="H1218" s="249">
        <f t="shared" si="322"/>
        <v>0</v>
      </c>
      <c r="I1218" s="251">
        <f t="shared" si="324"/>
        <v>0</v>
      </c>
      <c r="J1218" s="74" t="e">
        <f t="shared" si="325"/>
        <v>#DIV/0!</v>
      </c>
    </row>
    <row r="1219" spans="1:11" s="100" customFormat="1" ht="15.95" customHeight="1" outlineLevel="1">
      <c r="A1219" s="5" t="s">
        <v>1355</v>
      </c>
      <c r="B1219" s="294">
        <v>96985</v>
      </c>
      <c r="C1219" s="294" t="s">
        <v>18</v>
      </c>
      <c r="D1219" s="97" t="s">
        <v>351</v>
      </c>
      <c r="E1219" s="66" t="s">
        <v>221</v>
      </c>
      <c r="F1219" s="64">
        <v>28</v>
      </c>
      <c r="G1219" s="98"/>
      <c r="H1219" s="249">
        <f t="shared" si="322"/>
        <v>0</v>
      </c>
      <c r="I1219" s="251">
        <f t="shared" si="324"/>
        <v>0</v>
      </c>
      <c r="J1219" s="74" t="e">
        <f t="shared" si="325"/>
        <v>#DIV/0!</v>
      </c>
    </row>
    <row r="1220" spans="1:11" s="100" customFormat="1" ht="15.95" customHeight="1" outlineLevel="1">
      <c r="A1220" s="5" t="s">
        <v>1356</v>
      </c>
      <c r="B1220" s="293" t="s">
        <v>352</v>
      </c>
      <c r="C1220" s="293" t="s">
        <v>314</v>
      </c>
      <c r="D1220" s="97" t="s">
        <v>353</v>
      </c>
      <c r="E1220" s="66" t="s">
        <v>221</v>
      </c>
      <c r="F1220" s="64">
        <v>28</v>
      </c>
      <c r="G1220" s="98"/>
      <c r="H1220" s="249">
        <f t="shared" si="322"/>
        <v>0</v>
      </c>
      <c r="I1220" s="251">
        <f t="shared" si="324"/>
        <v>0</v>
      </c>
      <c r="J1220" s="74" t="e">
        <f t="shared" si="325"/>
        <v>#DIV/0!</v>
      </c>
    </row>
    <row r="1221" spans="1:11" s="100" customFormat="1" ht="27" outlineLevel="1">
      <c r="A1221" s="5" t="s">
        <v>1357</v>
      </c>
      <c r="B1221" s="293" t="s">
        <v>354</v>
      </c>
      <c r="C1221" s="293" t="s">
        <v>314</v>
      </c>
      <c r="D1221" s="97" t="s">
        <v>355</v>
      </c>
      <c r="E1221" s="66" t="s">
        <v>221</v>
      </c>
      <c r="F1221" s="64">
        <v>28</v>
      </c>
      <c r="G1221" s="98"/>
      <c r="H1221" s="249">
        <f t="shared" si="322"/>
        <v>0</v>
      </c>
      <c r="I1221" s="251">
        <f t="shared" si="324"/>
        <v>0</v>
      </c>
      <c r="J1221" s="74" t="e">
        <f t="shared" si="325"/>
        <v>#DIV/0!</v>
      </c>
    </row>
    <row r="1222" spans="1:11" s="100" customFormat="1" ht="15.95" customHeight="1" outlineLevel="1">
      <c r="A1222" s="5" t="s">
        <v>1358</v>
      </c>
      <c r="B1222" s="294">
        <v>96989</v>
      </c>
      <c r="C1222" s="294" t="s">
        <v>18</v>
      </c>
      <c r="D1222" s="97" t="s">
        <v>356</v>
      </c>
      <c r="E1222" s="66" t="s">
        <v>221</v>
      </c>
      <c r="F1222" s="64">
        <v>65</v>
      </c>
      <c r="G1222" s="98"/>
      <c r="H1222" s="249">
        <f t="shared" si="322"/>
        <v>0</v>
      </c>
      <c r="I1222" s="251">
        <f t="shared" si="324"/>
        <v>0</v>
      </c>
      <c r="J1222" s="74" t="e">
        <f t="shared" si="325"/>
        <v>#DIV/0!</v>
      </c>
    </row>
    <row r="1223" spans="1:11">
      <c r="A1223" s="390" t="s">
        <v>1350</v>
      </c>
      <c r="B1223" s="390"/>
      <c r="C1223" s="390"/>
      <c r="D1223" s="390"/>
      <c r="E1223" s="390"/>
      <c r="F1223" s="390"/>
      <c r="G1223" s="390"/>
      <c r="H1223" s="390"/>
      <c r="I1223" s="220">
        <f>SUM(I1215:I1222)</f>
        <v>0</v>
      </c>
      <c r="J1223" s="144" t="e">
        <f>SUM(J1215:J1222)</f>
        <v>#DIV/0!</v>
      </c>
      <c r="K1223" s="318" t="e">
        <f>I1223/$I$1236</f>
        <v>#DIV/0!</v>
      </c>
    </row>
    <row r="1224" spans="1:11" ht="15.75" customHeight="1">
      <c r="A1224" s="61" t="s">
        <v>1359</v>
      </c>
      <c r="B1224" s="59"/>
      <c r="C1224" s="59"/>
      <c r="D1224" s="77" t="s">
        <v>310</v>
      </c>
      <c r="E1224" s="78"/>
      <c r="F1224" s="78"/>
      <c r="G1224" s="181"/>
      <c r="H1224" s="181"/>
      <c r="I1224" s="181"/>
      <c r="J1224" s="79"/>
    </row>
    <row r="1225" spans="1:11" s="100" customFormat="1" outlineLevel="1">
      <c r="A1225" s="63" t="s">
        <v>1360</v>
      </c>
      <c r="B1225" s="293">
        <v>98307</v>
      </c>
      <c r="C1225" s="293" t="s">
        <v>18</v>
      </c>
      <c r="D1225" s="97" t="s">
        <v>357</v>
      </c>
      <c r="E1225" s="66" t="s">
        <v>221</v>
      </c>
      <c r="F1225" s="64">
        <v>23</v>
      </c>
      <c r="G1225" s="98"/>
      <c r="H1225" s="249">
        <f t="shared" si="322"/>
        <v>0</v>
      </c>
      <c r="I1225" s="251">
        <f t="shared" ref="I1225:I1234" si="326">F1225*H1225</f>
        <v>0</v>
      </c>
      <c r="J1225" s="74" t="e">
        <f t="shared" ref="J1225:J1234" si="327">I1225/$I$1421</f>
        <v>#DIV/0!</v>
      </c>
    </row>
    <row r="1226" spans="1:11" s="100" customFormat="1" ht="15.75" customHeight="1" outlineLevel="1">
      <c r="A1226" s="63" t="s">
        <v>1361</v>
      </c>
      <c r="B1226" s="293">
        <v>98308</v>
      </c>
      <c r="C1226" s="293" t="s">
        <v>18</v>
      </c>
      <c r="D1226" s="97" t="s">
        <v>358</v>
      </c>
      <c r="E1226" s="66" t="s">
        <v>221</v>
      </c>
      <c r="F1226" s="64">
        <v>5</v>
      </c>
      <c r="G1226" s="98"/>
      <c r="H1226" s="249">
        <f t="shared" si="322"/>
        <v>0</v>
      </c>
      <c r="I1226" s="251">
        <f t="shared" si="326"/>
        <v>0</v>
      </c>
      <c r="J1226" s="74" t="e">
        <f t="shared" si="327"/>
        <v>#DIV/0!</v>
      </c>
    </row>
    <row r="1227" spans="1:11" s="100" customFormat="1" ht="40.5" outlineLevel="1">
      <c r="A1227" s="63" t="s">
        <v>1362</v>
      </c>
      <c r="B1227" s="293">
        <v>104475</v>
      </c>
      <c r="C1227" s="293" t="s">
        <v>18</v>
      </c>
      <c r="D1227" s="97" t="s">
        <v>375</v>
      </c>
      <c r="E1227" s="66" t="s">
        <v>221</v>
      </c>
      <c r="F1227" s="64">
        <f>F1225+F1226</f>
        <v>28</v>
      </c>
      <c r="G1227" s="98"/>
      <c r="H1227" s="249">
        <f t="shared" si="322"/>
        <v>0</v>
      </c>
      <c r="I1227" s="251">
        <f t="shared" si="326"/>
        <v>0</v>
      </c>
      <c r="J1227" s="74" t="e">
        <f t="shared" si="327"/>
        <v>#DIV/0!</v>
      </c>
    </row>
    <row r="1228" spans="1:11" s="100" customFormat="1" ht="15.75" customHeight="1" outlineLevel="1">
      <c r="A1228" s="63" t="s">
        <v>1363</v>
      </c>
      <c r="B1228" s="293" t="s">
        <v>359</v>
      </c>
      <c r="C1228" s="293" t="s">
        <v>314</v>
      </c>
      <c r="D1228" s="97" t="s">
        <v>360</v>
      </c>
      <c r="E1228" s="66" t="s">
        <v>221</v>
      </c>
      <c r="F1228" s="64">
        <v>1</v>
      </c>
      <c r="G1228" s="98"/>
      <c r="H1228" s="249">
        <f t="shared" si="322"/>
        <v>0</v>
      </c>
      <c r="I1228" s="251">
        <f t="shared" si="326"/>
        <v>0</v>
      </c>
      <c r="J1228" s="74" t="e">
        <f t="shared" si="327"/>
        <v>#DIV/0!</v>
      </c>
    </row>
    <row r="1229" spans="1:11" s="100" customFormat="1" ht="15.75" customHeight="1" outlineLevel="1">
      <c r="A1229" s="63" t="s">
        <v>1364</v>
      </c>
      <c r="B1229" s="293" t="s">
        <v>361</v>
      </c>
      <c r="C1229" s="293" t="s">
        <v>314</v>
      </c>
      <c r="D1229" s="97" t="s">
        <v>362</v>
      </c>
      <c r="E1229" s="66" t="s">
        <v>221</v>
      </c>
      <c r="F1229" s="64">
        <v>1</v>
      </c>
      <c r="G1229" s="98"/>
      <c r="H1229" s="249">
        <f t="shared" si="322"/>
        <v>0</v>
      </c>
      <c r="I1229" s="251">
        <f t="shared" si="326"/>
        <v>0</v>
      </c>
      <c r="J1229" s="74" t="e">
        <f t="shared" si="327"/>
        <v>#DIV/0!</v>
      </c>
    </row>
    <row r="1230" spans="1:11" s="100" customFormat="1" ht="15.75" customHeight="1" outlineLevel="1">
      <c r="A1230" s="63" t="s">
        <v>1365</v>
      </c>
      <c r="B1230" s="293" t="s">
        <v>363</v>
      </c>
      <c r="C1230" s="293" t="s">
        <v>314</v>
      </c>
      <c r="D1230" s="97" t="s">
        <v>364</v>
      </c>
      <c r="E1230" s="66" t="s">
        <v>221</v>
      </c>
      <c r="F1230" s="64">
        <v>1</v>
      </c>
      <c r="G1230" s="98"/>
      <c r="H1230" s="249">
        <f t="shared" si="322"/>
        <v>0</v>
      </c>
      <c r="I1230" s="251">
        <f t="shared" si="326"/>
        <v>0</v>
      </c>
      <c r="J1230" s="74" t="e">
        <f t="shared" si="327"/>
        <v>#DIV/0!</v>
      </c>
    </row>
    <row r="1231" spans="1:11" s="100" customFormat="1" ht="15.95" customHeight="1" outlineLevel="1">
      <c r="A1231" s="63" t="s">
        <v>1366</v>
      </c>
      <c r="B1231" s="293" t="s">
        <v>365</v>
      </c>
      <c r="C1231" s="293" t="s">
        <v>314</v>
      </c>
      <c r="D1231" s="97" t="s">
        <v>366</v>
      </c>
      <c r="E1231" s="66" t="s">
        <v>115</v>
      </c>
      <c r="F1231" s="64">
        <v>276</v>
      </c>
      <c r="G1231" s="98"/>
      <c r="H1231" s="249">
        <f t="shared" si="322"/>
        <v>0</v>
      </c>
      <c r="I1231" s="251">
        <f t="shared" si="326"/>
        <v>0</v>
      </c>
      <c r="J1231" s="74" t="e">
        <f t="shared" si="327"/>
        <v>#DIV/0!</v>
      </c>
    </row>
    <row r="1232" spans="1:11" s="100" customFormat="1" ht="15.95" customHeight="1" outlineLevel="1">
      <c r="A1232" s="63" t="s">
        <v>1367</v>
      </c>
      <c r="B1232" s="293" t="s">
        <v>363</v>
      </c>
      <c r="C1232" s="293" t="s">
        <v>314</v>
      </c>
      <c r="D1232" s="97" t="s">
        <v>367</v>
      </c>
      <c r="E1232" s="66" t="s">
        <v>221</v>
      </c>
      <c r="F1232" s="64">
        <v>5</v>
      </c>
      <c r="G1232" s="98"/>
      <c r="H1232" s="249">
        <f t="shared" si="322"/>
        <v>0</v>
      </c>
      <c r="I1232" s="251">
        <f t="shared" si="326"/>
        <v>0</v>
      </c>
      <c r="J1232" s="74" t="e">
        <f t="shared" si="327"/>
        <v>#DIV/0!</v>
      </c>
    </row>
    <row r="1233" spans="1:11" s="100" customFormat="1" ht="27" outlineLevel="1">
      <c r="A1233" s="63" t="s">
        <v>1368</v>
      </c>
      <c r="B1233" s="293">
        <v>100556</v>
      </c>
      <c r="C1233" s="293" t="s">
        <v>18</v>
      </c>
      <c r="D1233" s="97" t="s">
        <v>368</v>
      </c>
      <c r="E1233" s="66" t="s">
        <v>221</v>
      </c>
      <c r="F1233" s="64">
        <v>5</v>
      </c>
      <c r="G1233" s="98"/>
      <c r="H1233" s="249">
        <f t="shared" si="322"/>
        <v>0</v>
      </c>
      <c r="I1233" s="251">
        <f t="shared" si="326"/>
        <v>0</v>
      </c>
      <c r="J1233" s="74" t="e">
        <f t="shared" si="327"/>
        <v>#DIV/0!</v>
      </c>
    </row>
    <row r="1234" spans="1:11" s="100" customFormat="1" ht="27" outlineLevel="1">
      <c r="A1234" s="63" t="s">
        <v>1369</v>
      </c>
      <c r="B1234" s="293">
        <v>100561</v>
      </c>
      <c r="C1234" s="293" t="s">
        <v>18</v>
      </c>
      <c r="D1234" s="97" t="s">
        <v>369</v>
      </c>
      <c r="E1234" s="66" t="s">
        <v>221</v>
      </c>
      <c r="F1234" s="64">
        <v>1</v>
      </c>
      <c r="G1234" s="98"/>
      <c r="H1234" s="249">
        <f t="shared" si="322"/>
        <v>0</v>
      </c>
      <c r="I1234" s="251">
        <f t="shared" si="326"/>
        <v>0</v>
      </c>
      <c r="J1234" s="74" t="e">
        <f t="shared" si="327"/>
        <v>#DIV/0!</v>
      </c>
    </row>
    <row r="1235" spans="1:11" s="8" customFormat="1" ht="16.5" customHeight="1">
      <c r="A1235" s="390" t="s">
        <v>1601</v>
      </c>
      <c r="B1235" s="390"/>
      <c r="C1235" s="390"/>
      <c r="D1235" s="390"/>
      <c r="E1235" s="390"/>
      <c r="F1235" s="390"/>
      <c r="G1235" s="390"/>
      <c r="H1235" s="390"/>
      <c r="I1235" s="220">
        <f>SUM(I1225:I1234)</f>
        <v>0</v>
      </c>
      <c r="J1235" s="144" t="e">
        <f>SUM(J1225:J1234)</f>
        <v>#DIV/0!</v>
      </c>
      <c r="K1235" s="318" t="e">
        <f>I1235/$I$1236</f>
        <v>#DIV/0!</v>
      </c>
    </row>
    <row r="1236" spans="1:11" s="8" customFormat="1" ht="16.5" customHeight="1">
      <c r="A1236" s="378" t="s">
        <v>1370</v>
      </c>
      <c r="B1236" s="378"/>
      <c r="C1236" s="378"/>
      <c r="D1236" s="378"/>
      <c r="E1236" s="378"/>
      <c r="F1236" s="378"/>
      <c r="G1236" s="378"/>
      <c r="H1236" s="378"/>
      <c r="I1236" s="177">
        <f>I1151+I1190+I1195+I1201+I1210+I1213+I1223+I1235</f>
        <v>0</v>
      </c>
      <c r="J1236" s="144" t="e">
        <f>J1151+J1190+J1195+J1201+J1210+J1213+J1223+J1235</f>
        <v>#DIV/0!</v>
      </c>
    </row>
    <row r="1237" spans="1:11" s="58" customFormat="1" ht="16.5" customHeight="1">
      <c r="A1237" s="62" t="s">
        <v>31</v>
      </c>
      <c r="B1237" s="391"/>
      <c r="C1237" s="391"/>
      <c r="D1237" s="76" t="s">
        <v>165</v>
      </c>
      <c r="E1237" s="379"/>
      <c r="F1237" s="379"/>
      <c r="G1237" s="379"/>
      <c r="H1237" s="379"/>
      <c r="I1237" s="379"/>
      <c r="J1237" s="380"/>
    </row>
    <row r="1238" spans="1:11" s="191" customFormat="1" ht="15.75" customHeight="1">
      <c r="A1238" s="197" t="s">
        <v>1602</v>
      </c>
      <c r="B1238" s="203"/>
      <c r="C1238" s="204"/>
      <c r="D1238" s="202" t="s">
        <v>6</v>
      </c>
      <c r="E1238" s="78"/>
      <c r="F1238" s="78"/>
      <c r="G1238" s="181"/>
      <c r="H1238" s="181"/>
      <c r="I1238" s="181"/>
      <c r="J1238" s="79"/>
    </row>
    <row r="1239" spans="1:11" s="100" customFormat="1" ht="16.5" customHeight="1" outlineLevel="1">
      <c r="A1239" s="63" t="s">
        <v>1603</v>
      </c>
      <c r="B1239" s="295" t="s">
        <v>382</v>
      </c>
      <c r="C1239" s="295" t="s">
        <v>9</v>
      </c>
      <c r="D1239" s="254" t="s">
        <v>381</v>
      </c>
      <c r="E1239" s="66" t="s">
        <v>221</v>
      </c>
      <c r="F1239" s="64">
        <v>5</v>
      </c>
      <c r="G1239" s="249" t="s">
        <v>10</v>
      </c>
      <c r="H1239" s="249"/>
      <c r="I1239" s="249">
        <f>F1239*H1239</f>
        <v>0</v>
      </c>
      <c r="J1239" s="248" t="e">
        <f>I1239/$I$1421</f>
        <v>#DIV/0!</v>
      </c>
    </row>
    <row r="1240" spans="1:11" s="100" customFormat="1" ht="16.5" customHeight="1">
      <c r="A1240" s="378" t="s">
        <v>1604</v>
      </c>
      <c r="B1240" s="378"/>
      <c r="C1240" s="378"/>
      <c r="D1240" s="378"/>
      <c r="E1240" s="378"/>
      <c r="F1240" s="378"/>
      <c r="G1240" s="378"/>
      <c r="H1240" s="378"/>
      <c r="I1240" s="175">
        <f>I1239</f>
        <v>0</v>
      </c>
      <c r="J1240" s="159" t="e">
        <f>J1239</f>
        <v>#DIV/0!</v>
      </c>
      <c r="K1240" s="318" t="e">
        <f>I1240/$I$1401</f>
        <v>#DIV/0!</v>
      </c>
    </row>
    <row r="1241" spans="1:11" s="191" customFormat="1" ht="15.75" customHeight="1">
      <c r="A1241" s="61" t="s">
        <v>1605</v>
      </c>
      <c r="B1241" s="110"/>
      <c r="C1241" s="110"/>
      <c r="D1241" s="77" t="s">
        <v>195</v>
      </c>
      <c r="E1241" s="78"/>
      <c r="F1241" s="78"/>
      <c r="G1241" s="181"/>
      <c r="H1241" s="181"/>
      <c r="I1241" s="181"/>
      <c r="J1241" s="79"/>
    </row>
    <row r="1242" spans="1:11" s="8" customFormat="1" ht="15.75" customHeight="1">
      <c r="A1242" s="61" t="s">
        <v>1606</v>
      </c>
      <c r="B1242" s="192"/>
      <c r="C1242" s="192"/>
      <c r="D1242" s="193" t="s">
        <v>198</v>
      </c>
      <c r="E1242" s="194"/>
      <c r="F1242" s="194"/>
      <c r="G1242" s="195"/>
      <c r="H1242" s="195"/>
      <c r="I1242" s="195"/>
      <c r="J1242" s="196"/>
    </row>
    <row r="1243" spans="1:11" s="100" customFormat="1" ht="15.75" customHeight="1" outlineLevel="1">
      <c r="A1243" s="63" t="s">
        <v>1607</v>
      </c>
      <c r="B1243" s="293" t="s">
        <v>199</v>
      </c>
      <c r="C1243" s="264" t="s">
        <v>9</v>
      </c>
      <c r="D1243" s="296" t="s">
        <v>207</v>
      </c>
      <c r="E1243" s="297" t="s">
        <v>116</v>
      </c>
      <c r="F1243" s="75">
        <f>2.5*2.5</f>
        <v>6.25</v>
      </c>
      <c r="G1243" s="84" t="s">
        <v>10</v>
      </c>
      <c r="H1243" s="84"/>
      <c r="I1243" s="275">
        <f>F1243*H1243</f>
        <v>0</v>
      </c>
      <c r="J1243" s="74" t="e">
        <f t="shared" ref="J1243:J1253" si="328">I1243/$I$1421</f>
        <v>#DIV/0!</v>
      </c>
    </row>
    <row r="1244" spans="1:11" s="100" customFormat="1" ht="15.75" customHeight="1" outlineLevel="1">
      <c r="A1244" s="63" t="s">
        <v>1608</v>
      </c>
      <c r="B1244" s="293" t="s">
        <v>200</v>
      </c>
      <c r="C1244" s="264" t="s">
        <v>9</v>
      </c>
      <c r="D1244" s="277" t="s">
        <v>208</v>
      </c>
      <c r="E1244" s="298" t="s">
        <v>115</v>
      </c>
      <c r="F1244" s="64">
        <f>2.5*4</f>
        <v>10</v>
      </c>
      <c r="G1244" s="249" t="s">
        <v>10</v>
      </c>
      <c r="H1244" s="249"/>
      <c r="I1244" s="275">
        <f t="shared" ref="I1244:I1253" si="329">F1244*H1244</f>
        <v>0</v>
      </c>
      <c r="J1244" s="74" t="e">
        <f t="shared" si="328"/>
        <v>#DIV/0!</v>
      </c>
    </row>
    <row r="1245" spans="1:11" s="100" customFormat="1" ht="15.75" customHeight="1" outlineLevel="1">
      <c r="A1245" s="63" t="s">
        <v>1609</v>
      </c>
      <c r="B1245" s="293" t="s">
        <v>27</v>
      </c>
      <c r="C1245" s="293" t="s">
        <v>9</v>
      </c>
      <c r="D1245" s="299" t="s">
        <v>209</v>
      </c>
      <c r="E1245" s="266" t="s">
        <v>218</v>
      </c>
      <c r="F1245" s="64">
        <f>F1243*0.5</f>
        <v>3.125</v>
      </c>
      <c r="G1245" s="249" t="s">
        <v>10</v>
      </c>
      <c r="H1245" s="249"/>
      <c r="I1245" s="275">
        <f t="shared" si="329"/>
        <v>0</v>
      </c>
      <c r="J1245" s="74" t="e">
        <f t="shared" si="328"/>
        <v>#DIV/0!</v>
      </c>
    </row>
    <row r="1246" spans="1:11" s="100" customFormat="1" ht="15.75" customHeight="1" outlineLevel="1">
      <c r="A1246" s="63" t="s">
        <v>1610</v>
      </c>
      <c r="B1246" s="293" t="s">
        <v>201</v>
      </c>
      <c r="C1246" s="293" t="s">
        <v>9</v>
      </c>
      <c r="D1246" s="299" t="s">
        <v>210</v>
      </c>
      <c r="E1246" s="266" t="s">
        <v>115</v>
      </c>
      <c r="F1246" s="64">
        <f>9*3</f>
        <v>27</v>
      </c>
      <c r="G1246" s="249" t="s">
        <v>10</v>
      </c>
      <c r="H1246" s="249"/>
      <c r="I1246" s="275">
        <f t="shared" si="329"/>
        <v>0</v>
      </c>
      <c r="J1246" s="74" t="e">
        <f t="shared" si="328"/>
        <v>#DIV/0!</v>
      </c>
    </row>
    <row r="1247" spans="1:11" s="100" customFormat="1" ht="15.75" customHeight="1" outlineLevel="1">
      <c r="A1247" s="63" t="s">
        <v>1611</v>
      </c>
      <c r="B1247" s="293" t="s">
        <v>202</v>
      </c>
      <c r="C1247" s="293" t="s">
        <v>9</v>
      </c>
      <c r="D1247" s="299" t="s">
        <v>211</v>
      </c>
      <c r="E1247" s="266" t="s">
        <v>116</v>
      </c>
      <c r="F1247" s="64">
        <f>F1243</f>
        <v>6.25</v>
      </c>
      <c r="G1247" s="249" t="s">
        <v>10</v>
      </c>
      <c r="H1247" s="249"/>
      <c r="I1247" s="275">
        <f t="shared" si="329"/>
        <v>0</v>
      </c>
      <c r="J1247" s="74" t="e">
        <f t="shared" si="328"/>
        <v>#DIV/0!</v>
      </c>
    </row>
    <row r="1248" spans="1:11" s="100" customFormat="1" ht="15.75" customHeight="1" outlineLevel="1">
      <c r="A1248" s="63" t="s">
        <v>1612</v>
      </c>
      <c r="B1248" s="293" t="s">
        <v>22</v>
      </c>
      <c r="C1248" s="293" t="s">
        <v>9</v>
      </c>
      <c r="D1248" s="299" t="s">
        <v>212</v>
      </c>
      <c r="E1248" s="266" t="s">
        <v>116</v>
      </c>
      <c r="F1248" s="64">
        <f>F1243</f>
        <v>6.25</v>
      </c>
      <c r="G1248" s="249" t="s">
        <v>10</v>
      </c>
      <c r="H1248" s="249"/>
      <c r="I1248" s="275">
        <f t="shared" si="329"/>
        <v>0</v>
      </c>
      <c r="J1248" s="74" t="e">
        <f t="shared" si="328"/>
        <v>#DIV/0!</v>
      </c>
    </row>
    <row r="1249" spans="1:11" s="100" customFormat="1" ht="15.75" customHeight="1" outlineLevel="1">
      <c r="A1249" s="63" t="s">
        <v>1613</v>
      </c>
      <c r="B1249" s="293" t="s">
        <v>203</v>
      </c>
      <c r="C1249" s="293" t="s">
        <v>9</v>
      </c>
      <c r="D1249" s="299" t="s">
        <v>213</v>
      </c>
      <c r="E1249" s="266" t="s">
        <v>116</v>
      </c>
      <c r="F1249" s="64">
        <f>F1243</f>
        <v>6.25</v>
      </c>
      <c r="G1249" s="249" t="s">
        <v>10</v>
      </c>
      <c r="H1249" s="249"/>
      <c r="I1249" s="275">
        <f t="shared" si="329"/>
        <v>0</v>
      </c>
      <c r="J1249" s="74" t="e">
        <f t="shared" si="328"/>
        <v>#DIV/0!</v>
      </c>
    </row>
    <row r="1250" spans="1:11" s="100" customFormat="1" ht="15.75" customHeight="1" outlineLevel="1">
      <c r="A1250" s="63" t="s">
        <v>1614</v>
      </c>
      <c r="B1250" s="293" t="s">
        <v>28</v>
      </c>
      <c r="C1250" s="293" t="s">
        <v>9</v>
      </c>
      <c r="D1250" s="299" t="s">
        <v>214</v>
      </c>
      <c r="E1250" s="266" t="s">
        <v>116</v>
      </c>
      <c r="F1250" s="64">
        <f>F1244*0.5</f>
        <v>5</v>
      </c>
      <c r="G1250" s="249" t="s">
        <v>10</v>
      </c>
      <c r="H1250" s="249"/>
      <c r="I1250" s="275">
        <f t="shared" si="329"/>
        <v>0</v>
      </c>
      <c r="J1250" s="74" t="e">
        <f t="shared" si="328"/>
        <v>#DIV/0!</v>
      </c>
    </row>
    <row r="1251" spans="1:11" s="100" customFormat="1" ht="15.75" customHeight="1" outlineLevel="1">
      <c r="A1251" s="63" t="s">
        <v>1615</v>
      </c>
      <c r="B1251" s="293" t="s">
        <v>204</v>
      </c>
      <c r="C1251" s="293" t="s">
        <v>9</v>
      </c>
      <c r="D1251" s="299" t="s">
        <v>215</v>
      </c>
      <c r="E1251" s="266" t="s">
        <v>117</v>
      </c>
      <c r="F1251" s="64">
        <f>(((11*5.05)+(11*5.05)+(36*2.63))/12)*7.404</f>
        <v>126.96625999999998</v>
      </c>
      <c r="G1251" s="249" t="s">
        <v>10</v>
      </c>
      <c r="H1251" s="249"/>
      <c r="I1251" s="275">
        <f t="shared" si="329"/>
        <v>0</v>
      </c>
      <c r="J1251" s="74" t="e">
        <f t="shared" si="328"/>
        <v>#DIV/0!</v>
      </c>
    </row>
    <row r="1252" spans="1:11" s="100" customFormat="1" ht="15.75" customHeight="1" outlineLevel="1">
      <c r="A1252" s="63" t="s">
        <v>1616</v>
      </c>
      <c r="B1252" s="293" t="s">
        <v>205</v>
      </c>
      <c r="C1252" s="293" t="s">
        <v>9</v>
      </c>
      <c r="D1252" s="299" t="s">
        <v>216</v>
      </c>
      <c r="E1252" s="266" t="s">
        <v>117</v>
      </c>
      <c r="F1252" s="64">
        <f>((16*9*0.56)/12)*1.3</f>
        <v>8.7360000000000024</v>
      </c>
      <c r="G1252" s="249" t="s">
        <v>10</v>
      </c>
      <c r="H1252" s="249"/>
      <c r="I1252" s="275">
        <f t="shared" si="329"/>
        <v>0</v>
      </c>
      <c r="J1252" s="74" t="e">
        <f t="shared" si="328"/>
        <v>#DIV/0!</v>
      </c>
    </row>
    <row r="1253" spans="1:11" s="100" customFormat="1" ht="15.75" customHeight="1" outlineLevel="1">
      <c r="A1253" s="63" t="s">
        <v>1617</v>
      </c>
      <c r="B1253" s="293" t="s">
        <v>206</v>
      </c>
      <c r="C1253" s="293" t="s">
        <v>9</v>
      </c>
      <c r="D1253" s="300" t="s">
        <v>217</v>
      </c>
      <c r="E1253" s="290" t="s">
        <v>218</v>
      </c>
      <c r="F1253" s="80">
        <f>((2.5*2.5*0.45)+((3.14*(0.125*0.125)*3)*9))</f>
        <v>4.1371874999999996</v>
      </c>
      <c r="G1253" s="124" t="s">
        <v>10</v>
      </c>
      <c r="H1253" s="124"/>
      <c r="I1253" s="275">
        <f t="shared" si="329"/>
        <v>0</v>
      </c>
      <c r="J1253" s="74" t="e">
        <f t="shared" si="328"/>
        <v>#DIV/0!</v>
      </c>
    </row>
    <row r="1254" spans="1:11" s="100" customFormat="1" ht="16.5" customHeight="1">
      <c r="A1254" s="378" t="s">
        <v>1618</v>
      </c>
      <c r="B1254" s="390"/>
      <c r="C1254" s="390"/>
      <c r="D1254" s="378"/>
      <c r="E1254" s="378"/>
      <c r="F1254" s="378"/>
      <c r="G1254" s="378"/>
      <c r="H1254" s="378"/>
      <c r="I1254" s="177">
        <f>SUM(I1243:I1253)</f>
        <v>0</v>
      </c>
      <c r="J1254" s="144" t="e">
        <f>SUM(J1243:J1253)</f>
        <v>#DIV/0!</v>
      </c>
    </row>
    <row r="1255" spans="1:11" s="8" customFormat="1" ht="15.75" customHeight="1">
      <c r="A1255" s="197" t="s">
        <v>1619</v>
      </c>
      <c r="B1255" s="200"/>
      <c r="C1255" s="201"/>
      <c r="D1255" s="198" t="s">
        <v>223</v>
      </c>
      <c r="E1255" s="194"/>
      <c r="F1255" s="194"/>
      <c r="G1255" s="195"/>
      <c r="H1255" s="195"/>
      <c r="I1255" s="195"/>
      <c r="J1255" s="196"/>
    </row>
    <row r="1256" spans="1:11" s="100" customFormat="1" ht="27" outlineLevel="1">
      <c r="A1256" s="63" t="s">
        <v>1620</v>
      </c>
      <c r="B1256" s="128" t="s">
        <v>10</v>
      </c>
      <c r="C1256" s="128" t="s">
        <v>219</v>
      </c>
      <c r="D1256" s="82" t="s">
        <v>220</v>
      </c>
      <c r="E1256" s="83" t="s">
        <v>221</v>
      </c>
      <c r="F1256" s="75">
        <v>1</v>
      </c>
      <c r="G1256" s="84"/>
      <c r="H1256" s="84">
        <f>TRUNC((G1256*(1+$I$12)),2)</f>
        <v>0</v>
      </c>
      <c r="I1256" s="275">
        <f>F1256*H1256</f>
        <v>0</v>
      </c>
      <c r="J1256" s="74" t="e">
        <f>I1256/$I$1421</f>
        <v>#DIV/0!</v>
      </c>
    </row>
    <row r="1257" spans="1:11" s="100" customFormat="1" ht="15.75" customHeight="1" outlineLevel="1">
      <c r="A1257" s="63" t="s">
        <v>1621</v>
      </c>
      <c r="B1257" s="63" t="s">
        <v>37</v>
      </c>
      <c r="C1257" s="63" t="s">
        <v>7</v>
      </c>
      <c r="D1257" s="65" t="s">
        <v>222</v>
      </c>
      <c r="E1257" s="66" t="s">
        <v>221</v>
      </c>
      <c r="F1257" s="64">
        <v>1</v>
      </c>
      <c r="G1257" s="98"/>
      <c r="H1257" s="249">
        <f>TRUNC((G1257*(1+$I$12)),2)</f>
        <v>0</v>
      </c>
      <c r="I1257" s="275">
        <f>F1257*H1257</f>
        <v>0</v>
      </c>
      <c r="J1257" s="74" t="e">
        <f>I1257/$I$1421</f>
        <v>#DIV/0!</v>
      </c>
    </row>
    <row r="1258" spans="1:11" s="100" customFormat="1" ht="16.5" customHeight="1">
      <c r="A1258" s="378" t="s">
        <v>1622</v>
      </c>
      <c r="B1258" s="378"/>
      <c r="C1258" s="378"/>
      <c r="D1258" s="390"/>
      <c r="E1258" s="390"/>
      <c r="F1258" s="390"/>
      <c r="G1258" s="390"/>
      <c r="H1258" s="390"/>
      <c r="I1258" s="215">
        <f>SUM(I1256:I1257)</f>
        <v>0</v>
      </c>
      <c r="J1258" s="216" t="e">
        <f>SUM(J1256:J1257)</f>
        <v>#DIV/0!</v>
      </c>
    </row>
    <row r="1259" spans="1:11" s="8" customFormat="1" ht="15.75" customHeight="1">
      <c r="A1259" s="61" t="s">
        <v>1623</v>
      </c>
      <c r="B1259" s="192"/>
      <c r="C1259" s="192"/>
      <c r="D1259" s="193" t="s">
        <v>224</v>
      </c>
      <c r="E1259" s="194"/>
      <c r="F1259" s="194"/>
      <c r="G1259" s="195"/>
      <c r="H1259" s="195"/>
      <c r="I1259" s="195"/>
      <c r="J1259" s="196"/>
    </row>
    <row r="1260" spans="1:11" s="100" customFormat="1" ht="15.75" customHeight="1" outlineLevel="1">
      <c r="A1260" s="63" t="s">
        <v>1624</v>
      </c>
      <c r="B1260" s="67" t="s">
        <v>46</v>
      </c>
      <c r="C1260" s="63" t="s">
        <v>9</v>
      </c>
      <c r="D1260" s="82" t="s">
        <v>47</v>
      </c>
      <c r="E1260" s="88" t="s">
        <v>218</v>
      </c>
      <c r="F1260" s="301">
        <f>F1262*0.4*0.4</f>
        <v>2.4000000000000004</v>
      </c>
      <c r="G1260" s="84" t="s">
        <v>10</v>
      </c>
      <c r="H1260" s="84"/>
      <c r="I1260" s="275">
        <f>F1260*H1260</f>
        <v>0</v>
      </c>
      <c r="J1260" s="74" t="e">
        <f>I1260/$I$1421</f>
        <v>#DIV/0!</v>
      </c>
    </row>
    <row r="1261" spans="1:11" s="100" customFormat="1" ht="15.75" customHeight="1" outlineLevel="1">
      <c r="A1261" s="63" t="s">
        <v>1625</v>
      </c>
      <c r="B1261" s="63" t="s">
        <v>48</v>
      </c>
      <c r="C1261" s="63" t="s">
        <v>9</v>
      </c>
      <c r="D1261" s="65" t="s">
        <v>21</v>
      </c>
      <c r="E1261" s="68" t="s">
        <v>218</v>
      </c>
      <c r="F1261" s="302">
        <f>F1262*0.4*0.4</f>
        <v>2.4000000000000004</v>
      </c>
      <c r="G1261" s="249" t="s">
        <v>10</v>
      </c>
      <c r="H1261" s="249"/>
      <c r="I1261" s="275">
        <f t="shared" ref="I1261:I1262" si="330">F1261*H1261</f>
        <v>0</v>
      </c>
      <c r="J1261" s="74" t="e">
        <f>I1261/$I$1421</f>
        <v>#DIV/0!</v>
      </c>
    </row>
    <row r="1262" spans="1:11" s="100" customFormat="1" ht="15.75" customHeight="1" outlineLevel="1">
      <c r="A1262" s="63" t="s">
        <v>1626</v>
      </c>
      <c r="B1262" s="63" t="s">
        <v>225</v>
      </c>
      <c r="C1262" s="63" t="s">
        <v>9</v>
      </c>
      <c r="D1262" s="85" t="s">
        <v>226</v>
      </c>
      <c r="E1262" s="86" t="s">
        <v>115</v>
      </c>
      <c r="F1262" s="282">
        <v>15</v>
      </c>
      <c r="G1262" s="124" t="s">
        <v>10</v>
      </c>
      <c r="H1262" s="124"/>
      <c r="I1262" s="275">
        <f t="shared" si="330"/>
        <v>0</v>
      </c>
      <c r="J1262" s="74" t="e">
        <f>I1262/$I$1421</f>
        <v>#DIV/0!</v>
      </c>
      <c r="K1262" s="303"/>
    </row>
    <row r="1263" spans="1:11" ht="15.75" customHeight="1">
      <c r="A1263" s="378" t="s">
        <v>1627</v>
      </c>
      <c r="B1263" s="378"/>
      <c r="C1263" s="378"/>
      <c r="D1263" s="378"/>
      <c r="E1263" s="378"/>
      <c r="F1263" s="378"/>
      <c r="G1263" s="378"/>
      <c r="H1263" s="378"/>
      <c r="I1263" s="177">
        <f>SUM(I1260:I1262)</f>
        <v>0</v>
      </c>
      <c r="J1263" s="144" t="e">
        <f>SUM(J1260:J1262)</f>
        <v>#DIV/0!</v>
      </c>
      <c r="K1263" s="14"/>
    </row>
    <row r="1264" spans="1:11" ht="15.75" customHeight="1">
      <c r="A1264" s="378" t="s">
        <v>1628</v>
      </c>
      <c r="B1264" s="378"/>
      <c r="C1264" s="378"/>
      <c r="D1264" s="378"/>
      <c r="E1264" s="378"/>
      <c r="F1264" s="378"/>
      <c r="G1264" s="378"/>
      <c r="H1264" s="378"/>
      <c r="I1264" s="177">
        <f>I1254+I1258+I1263</f>
        <v>0</v>
      </c>
      <c r="J1264" s="144" t="e">
        <f>J1254+J1258+J1263</f>
        <v>#DIV/0!</v>
      </c>
      <c r="K1264" s="318" t="e">
        <f>I1264/$I$1401</f>
        <v>#DIV/0!</v>
      </c>
    </row>
    <row r="1265" spans="1:10" ht="16.5" customHeight="1">
      <c r="A1265" s="70" t="s">
        <v>1629</v>
      </c>
      <c r="B1265" s="60"/>
      <c r="C1265" s="60"/>
      <c r="D1265" s="211" t="s">
        <v>40</v>
      </c>
      <c r="E1265" s="212"/>
      <c r="F1265" s="212"/>
      <c r="G1265" s="213"/>
      <c r="H1265" s="213"/>
      <c r="I1265" s="213"/>
      <c r="J1265" s="214"/>
    </row>
    <row r="1266" spans="1:10" s="111" customFormat="1" ht="15.75" customHeight="1">
      <c r="A1266" s="61" t="s">
        <v>1630</v>
      </c>
      <c r="B1266" s="60"/>
      <c r="C1266" s="60"/>
      <c r="D1266" s="193" t="s">
        <v>41</v>
      </c>
      <c r="E1266" s="194"/>
      <c r="F1266" s="194"/>
      <c r="G1266" s="195"/>
      <c r="H1266" s="195"/>
      <c r="I1266" s="195"/>
      <c r="J1266" s="196"/>
    </row>
    <row r="1267" spans="1:10" s="100" customFormat="1" ht="15.75" customHeight="1" outlineLevel="1">
      <c r="A1267" s="63" t="s">
        <v>1631</v>
      </c>
      <c r="B1267" s="63" t="s">
        <v>42</v>
      </c>
      <c r="C1267" s="63" t="s">
        <v>9</v>
      </c>
      <c r="D1267" s="82" t="s">
        <v>43</v>
      </c>
      <c r="E1267" s="83" t="s">
        <v>115</v>
      </c>
      <c r="F1267" s="304">
        <v>90</v>
      </c>
      <c r="G1267" s="84" t="s">
        <v>10</v>
      </c>
      <c r="H1267" s="84"/>
      <c r="I1267" s="275">
        <f t="shared" ref="I1267:I1273" si="331">F1267*H1267</f>
        <v>0</v>
      </c>
      <c r="J1267" s="74" t="e">
        <f t="shared" ref="J1267:J1273" si="332">I1267/$I$1421</f>
        <v>#DIV/0!</v>
      </c>
    </row>
    <row r="1268" spans="1:10" s="100" customFormat="1" ht="15.75" customHeight="1" outlineLevel="1">
      <c r="A1268" s="63" t="s">
        <v>1632</v>
      </c>
      <c r="B1268" s="63" t="s">
        <v>227</v>
      </c>
      <c r="C1268" s="63" t="s">
        <v>9</v>
      </c>
      <c r="D1268" s="65" t="s">
        <v>228</v>
      </c>
      <c r="E1268" s="66" t="s">
        <v>115</v>
      </c>
      <c r="F1268" s="69">
        <f>F1267*3</f>
        <v>270</v>
      </c>
      <c r="G1268" s="249" t="s">
        <v>10</v>
      </c>
      <c r="H1268" s="249"/>
      <c r="I1268" s="275">
        <f t="shared" si="331"/>
        <v>0</v>
      </c>
      <c r="J1268" s="74" t="e">
        <f t="shared" si="332"/>
        <v>#DIV/0!</v>
      </c>
    </row>
    <row r="1269" spans="1:10" s="100" customFormat="1" ht="15.75" customHeight="1" outlineLevel="1">
      <c r="A1269" s="63" t="s">
        <v>1633</v>
      </c>
      <c r="B1269" s="63" t="s">
        <v>44</v>
      </c>
      <c r="C1269" s="63" t="s">
        <v>9</v>
      </c>
      <c r="D1269" s="65" t="s">
        <v>45</v>
      </c>
      <c r="E1269" s="66" t="s">
        <v>221</v>
      </c>
      <c r="F1269" s="64">
        <v>1</v>
      </c>
      <c r="G1269" s="249" t="s">
        <v>10</v>
      </c>
      <c r="H1269" s="249"/>
      <c r="I1269" s="275">
        <f t="shared" si="331"/>
        <v>0</v>
      </c>
      <c r="J1269" s="74" t="e">
        <f t="shared" si="332"/>
        <v>#DIV/0!</v>
      </c>
    </row>
    <row r="1270" spans="1:10" s="100" customFormat="1" ht="15.75" customHeight="1" outlineLevel="1">
      <c r="A1270" s="63" t="s">
        <v>1634</v>
      </c>
      <c r="B1270" s="67" t="s">
        <v>46</v>
      </c>
      <c r="C1270" s="63" t="s">
        <v>9</v>
      </c>
      <c r="D1270" s="65" t="s">
        <v>47</v>
      </c>
      <c r="E1270" s="68" t="s">
        <v>218</v>
      </c>
      <c r="F1270" s="302">
        <f>90*0.4*0.4</f>
        <v>14.4</v>
      </c>
      <c r="G1270" s="249" t="s">
        <v>10</v>
      </c>
      <c r="H1270" s="249"/>
      <c r="I1270" s="275">
        <f t="shared" si="331"/>
        <v>0</v>
      </c>
      <c r="J1270" s="74" t="e">
        <f t="shared" si="332"/>
        <v>#DIV/0!</v>
      </c>
    </row>
    <row r="1271" spans="1:10" s="100" customFormat="1" ht="15.75" customHeight="1" outlineLevel="1">
      <c r="A1271" s="63" t="s">
        <v>1635</v>
      </c>
      <c r="B1271" s="63" t="s">
        <v>48</v>
      </c>
      <c r="C1271" s="63" t="s">
        <v>9</v>
      </c>
      <c r="D1271" s="65" t="s">
        <v>229</v>
      </c>
      <c r="E1271" s="68" t="s">
        <v>218</v>
      </c>
      <c r="F1271" s="302">
        <f>F1270</f>
        <v>14.4</v>
      </c>
      <c r="G1271" s="249" t="s">
        <v>10</v>
      </c>
      <c r="H1271" s="249"/>
      <c r="I1271" s="275">
        <f t="shared" si="331"/>
        <v>0</v>
      </c>
      <c r="J1271" s="74" t="e">
        <f t="shared" si="332"/>
        <v>#DIV/0!</v>
      </c>
    </row>
    <row r="1272" spans="1:10" s="100" customFormat="1" ht="27" outlineLevel="1">
      <c r="A1272" s="63" t="s">
        <v>1636</v>
      </c>
      <c r="B1272" s="63">
        <v>97881</v>
      </c>
      <c r="C1272" s="63" t="s">
        <v>18</v>
      </c>
      <c r="D1272" s="65" t="s">
        <v>49</v>
      </c>
      <c r="E1272" s="66" t="s">
        <v>221</v>
      </c>
      <c r="F1272" s="69">
        <v>8</v>
      </c>
      <c r="G1272" s="249"/>
      <c r="H1272" s="249">
        <f>TRUNC((G1272*(1+$I$12)),2)</f>
        <v>0</v>
      </c>
      <c r="I1272" s="275">
        <f t="shared" si="331"/>
        <v>0</v>
      </c>
      <c r="J1272" s="74" t="e">
        <f t="shared" si="332"/>
        <v>#DIV/0!</v>
      </c>
    </row>
    <row r="1273" spans="1:10" s="100" customFormat="1" ht="27" outlineLevel="1">
      <c r="A1273" s="63" t="s">
        <v>1637</v>
      </c>
      <c r="B1273" s="63">
        <v>94990</v>
      </c>
      <c r="C1273" s="63" t="s">
        <v>18</v>
      </c>
      <c r="D1273" s="85" t="s">
        <v>230</v>
      </c>
      <c r="E1273" s="87" t="s">
        <v>218</v>
      </c>
      <c r="F1273" s="80">
        <f>(3.3)*0.15*0.15</f>
        <v>7.4249999999999983E-2</v>
      </c>
      <c r="G1273" s="124"/>
      <c r="H1273" s="124">
        <f>TRUNC((G1273*(1+$I$12)),2)</f>
        <v>0</v>
      </c>
      <c r="I1273" s="275">
        <f t="shared" si="331"/>
        <v>0</v>
      </c>
      <c r="J1273" s="74" t="e">
        <f t="shared" si="332"/>
        <v>#DIV/0!</v>
      </c>
    </row>
    <row r="1274" spans="1:10" s="100" customFormat="1" ht="16.5" customHeight="1">
      <c r="A1274" s="378" t="s">
        <v>1638</v>
      </c>
      <c r="B1274" s="378"/>
      <c r="C1274" s="378"/>
      <c r="D1274" s="378"/>
      <c r="E1274" s="378"/>
      <c r="F1274" s="378"/>
      <c r="G1274" s="378"/>
      <c r="H1274" s="378"/>
      <c r="I1274" s="177">
        <f>SUM(I1267:I1273)</f>
        <v>0</v>
      </c>
      <c r="J1274" s="144" t="e">
        <f>SUM(J1267:J1273)</f>
        <v>#DIV/0!</v>
      </c>
    </row>
    <row r="1275" spans="1:10" s="8" customFormat="1" ht="15.75" customHeight="1">
      <c r="A1275" s="205" t="s">
        <v>1639</v>
      </c>
      <c r="B1275" s="60"/>
      <c r="C1275" s="60"/>
      <c r="D1275" s="206" t="s">
        <v>50</v>
      </c>
      <c r="E1275" s="207"/>
      <c r="F1275" s="208"/>
      <c r="G1275" s="209"/>
      <c r="H1275" s="209"/>
      <c r="I1275" s="209"/>
      <c r="J1275" s="210"/>
    </row>
    <row r="1276" spans="1:10" s="100" customFormat="1" ht="15.75" customHeight="1" outlineLevel="1">
      <c r="A1276" s="63" t="s">
        <v>1640</v>
      </c>
      <c r="B1276" s="63" t="s">
        <v>51</v>
      </c>
      <c r="C1276" s="63" t="s">
        <v>9</v>
      </c>
      <c r="D1276" s="82" t="s">
        <v>52</v>
      </c>
      <c r="E1276" s="83" t="s">
        <v>116</v>
      </c>
      <c r="F1276" s="75">
        <v>1</v>
      </c>
      <c r="G1276" s="84" t="s">
        <v>10</v>
      </c>
      <c r="H1276" s="84"/>
      <c r="I1276" s="275">
        <f t="shared" ref="I1276:I1292" si="333">F1276*H1276</f>
        <v>0</v>
      </c>
      <c r="J1276" s="74" t="e">
        <f t="shared" ref="J1276:J1292" si="334">I1276/$I$1421</f>
        <v>#DIV/0!</v>
      </c>
    </row>
    <row r="1277" spans="1:10" s="100" customFormat="1" ht="15.75" customHeight="1" outlineLevel="1">
      <c r="A1277" s="63" t="s">
        <v>1641</v>
      </c>
      <c r="B1277" s="63" t="s">
        <v>53</v>
      </c>
      <c r="C1277" s="63" t="s">
        <v>9</v>
      </c>
      <c r="D1277" s="65" t="s">
        <v>54</v>
      </c>
      <c r="E1277" s="66" t="s">
        <v>221</v>
      </c>
      <c r="F1277" s="64">
        <v>1</v>
      </c>
      <c r="G1277" s="249" t="s">
        <v>10</v>
      </c>
      <c r="H1277" s="249"/>
      <c r="I1277" s="275">
        <f t="shared" si="333"/>
        <v>0</v>
      </c>
      <c r="J1277" s="74" t="e">
        <f t="shared" si="334"/>
        <v>#DIV/0!</v>
      </c>
    </row>
    <row r="1278" spans="1:10" s="100" customFormat="1" ht="27" outlineLevel="1">
      <c r="A1278" s="63" t="s">
        <v>1642</v>
      </c>
      <c r="B1278" s="63" t="s">
        <v>231</v>
      </c>
      <c r="C1278" s="63" t="s">
        <v>7</v>
      </c>
      <c r="D1278" s="65" t="s">
        <v>232</v>
      </c>
      <c r="E1278" s="66" t="s">
        <v>221</v>
      </c>
      <c r="F1278" s="64">
        <v>1</v>
      </c>
      <c r="G1278" s="98"/>
      <c r="H1278" s="249">
        <f>TRUNC((G1278*(1+$I$12)),2)</f>
        <v>0</v>
      </c>
      <c r="I1278" s="275">
        <f t="shared" si="333"/>
        <v>0</v>
      </c>
      <c r="J1278" s="74" t="e">
        <f t="shared" si="334"/>
        <v>#DIV/0!</v>
      </c>
    </row>
    <row r="1279" spans="1:10" s="100" customFormat="1" ht="15.75" customHeight="1" outlineLevel="1">
      <c r="A1279" s="63" t="s">
        <v>1643</v>
      </c>
      <c r="B1279" s="63" t="s">
        <v>55</v>
      </c>
      <c r="C1279" s="63" t="s">
        <v>9</v>
      </c>
      <c r="D1279" s="65" t="s">
        <v>56</v>
      </c>
      <c r="E1279" s="66" t="s">
        <v>221</v>
      </c>
      <c r="F1279" s="64">
        <v>1</v>
      </c>
      <c r="G1279" s="249" t="s">
        <v>10</v>
      </c>
      <c r="H1279" s="249"/>
      <c r="I1279" s="275">
        <f t="shared" si="333"/>
        <v>0</v>
      </c>
      <c r="J1279" s="74" t="e">
        <f t="shared" si="334"/>
        <v>#DIV/0!</v>
      </c>
    </row>
    <row r="1280" spans="1:10" s="100" customFormat="1" ht="15.75" customHeight="1" outlineLevel="1">
      <c r="A1280" s="63" t="s">
        <v>1644</v>
      </c>
      <c r="B1280" s="63" t="s">
        <v>233</v>
      </c>
      <c r="C1280" s="63" t="s">
        <v>9</v>
      </c>
      <c r="D1280" s="65" t="s">
        <v>234</v>
      </c>
      <c r="E1280" s="66" t="s">
        <v>221</v>
      </c>
      <c r="F1280" s="64">
        <v>3</v>
      </c>
      <c r="G1280" s="249" t="s">
        <v>10</v>
      </c>
      <c r="H1280" s="249"/>
      <c r="I1280" s="275">
        <f t="shared" si="333"/>
        <v>0</v>
      </c>
      <c r="J1280" s="74" t="e">
        <f t="shared" si="334"/>
        <v>#DIV/0!</v>
      </c>
    </row>
    <row r="1281" spans="1:10" s="100" customFormat="1" ht="15.75" customHeight="1" outlineLevel="1">
      <c r="A1281" s="63" t="s">
        <v>1645</v>
      </c>
      <c r="B1281" s="63" t="s">
        <v>235</v>
      </c>
      <c r="C1281" s="63" t="s">
        <v>9</v>
      </c>
      <c r="D1281" s="65" t="s">
        <v>236</v>
      </c>
      <c r="E1281" s="66" t="s">
        <v>221</v>
      </c>
      <c r="F1281" s="64">
        <v>2</v>
      </c>
      <c r="G1281" s="249" t="s">
        <v>10</v>
      </c>
      <c r="H1281" s="249"/>
      <c r="I1281" s="275">
        <f t="shared" si="333"/>
        <v>0</v>
      </c>
      <c r="J1281" s="74" t="e">
        <f t="shared" si="334"/>
        <v>#DIV/0!</v>
      </c>
    </row>
    <row r="1282" spans="1:10" s="100" customFormat="1" ht="15.75" customHeight="1" outlineLevel="1">
      <c r="A1282" s="63" t="s">
        <v>1646</v>
      </c>
      <c r="B1282" s="63" t="s">
        <v>57</v>
      </c>
      <c r="C1282" s="63" t="s">
        <v>9</v>
      </c>
      <c r="D1282" s="65" t="s">
        <v>58</v>
      </c>
      <c r="E1282" s="66" t="s">
        <v>221</v>
      </c>
      <c r="F1282" s="64">
        <v>1</v>
      </c>
      <c r="G1282" s="249" t="s">
        <v>10</v>
      </c>
      <c r="H1282" s="249"/>
      <c r="I1282" s="275">
        <f t="shared" si="333"/>
        <v>0</v>
      </c>
      <c r="J1282" s="74" t="e">
        <f t="shared" si="334"/>
        <v>#DIV/0!</v>
      </c>
    </row>
    <row r="1283" spans="1:10" s="100" customFormat="1" ht="27" outlineLevel="1">
      <c r="A1283" s="63" t="s">
        <v>1647</v>
      </c>
      <c r="B1283" s="63" t="s">
        <v>237</v>
      </c>
      <c r="C1283" s="63" t="s">
        <v>7</v>
      </c>
      <c r="D1283" s="65" t="s">
        <v>59</v>
      </c>
      <c r="E1283" s="66" t="s">
        <v>221</v>
      </c>
      <c r="F1283" s="64">
        <v>1</v>
      </c>
      <c r="G1283" s="249"/>
      <c r="H1283" s="249">
        <f t="shared" ref="H1283:H1292" si="335">TRUNC((G1283*(1+$I$12)),2)</f>
        <v>0</v>
      </c>
      <c r="I1283" s="275">
        <f t="shared" si="333"/>
        <v>0</v>
      </c>
      <c r="J1283" s="74" t="e">
        <f t="shared" si="334"/>
        <v>#DIV/0!</v>
      </c>
    </row>
    <row r="1284" spans="1:10" s="100" customFormat="1" ht="27" outlineLevel="1">
      <c r="A1284" s="63" t="s">
        <v>1648</v>
      </c>
      <c r="B1284" s="63">
        <v>93072</v>
      </c>
      <c r="C1284" s="63" t="s">
        <v>18</v>
      </c>
      <c r="D1284" s="65" t="s">
        <v>238</v>
      </c>
      <c r="E1284" s="66" t="s">
        <v>221</v>
      </c>
      <c r="F1284" s="64">
        <v>1</v>
      </c>
      <c r="G1284" s="249"/>
      <c r="H1284" s="249">
        <f t="shared" si="335"/>
        <v>0</v>
      </c>
      <c r="I1284" s="275">
        <f t="shared" si="333"/>
        <v>0</v>
      </c>
      <c r="J1284" s="74" t="e">
        <f t="shared" si="334"/>
        <v>#DIV/0!</v>
      </c>
    </row>
    <row r="1285" spans="1:10" s="100" customFormat="1" ht="15.75" customHeight="1" outlineLevel="1">
      <c r="A1285" s="63" t="s">
        <v>1649</v>
      </c>
      <c r="B1285" s="63">
        <v>92377</v>
      </c>
      <c r="C1285" s="63" t="s">
        <v>18</v>
      </c>
      <c r="D1285" s="65" t="s">
        <v>239</v>
      </c>
      <c r="E1285" s="66" t="s">
        <v>221</v>
      </c>
      <c r="F1285" s="64">
        <v>2</v>
      </c>
      <c r="G1285" s="249"/>
      <c r="H1285" s="249">
        <f t="shared" si="335"/>
        <v>0</v>
      </c>
      <c r="I1285" s="275">
        <f t="shared" si="333"/>
        <v>0</v>
      </c>
      <c r="J1285" s="74" t="e">
        <f t="shared" si="334"/>
        <v>#DIV/0!</v>
      </c>
    </row>
    <row r="1286" spans="1:10" s="100" customFormat="1" ht="15.75" customHeight="1" outlineLevel="1">
      <c r="A1286" s="63" t="s">
        <v>1650</v>
      </c>
      <c r="B1286" s="63">
        <v>92896</v>
      </c>
      <c r="C1286" s="63" t="s">
        <v>18</v>
      </c>
      <c r="D1286" s="65" t="s">
        <v>240</v>
      </c>
      <c r="E1286" s="66" t="s">
        <v>221</v>
      </c>
      <c r="F1286" s="64">
        <v>2</v>
      </c>
      <c r="G1286" s="249"/>
      <c r="H1286" s="249">
        <f t="shared" si="335"/>
        <v>0</v>
      </c>
      <c r="I1286" s="275">
        <f t="shared" si="333"/>
        <v>0</v>
      </c>
      <c r="J1286" s="74" t="e">
        <f t="shared" si="334"/>
        <v>#DIV/0!</v>
      </c>
    </row>
    <row r="1287" spans="1:10" s="100" customFormat="1" ht="27" outlineLevel="1">
      <c r="A1287" s="63" t="s">
        <v>1651</v>
      </c>
      <c r="B1287" s="63" t="s">
        <v>60</v>
      </c>
      <c r="C1287" s="63" t="s">
        <v>18</v>
      </c>
      <c r="D1287" s="65" t="s">
        <v>241</v>
      </c>
      <c r="E1287" s="66" t="s">
        <v>221</v>
      </c>
      <c r="F1287" s="64">
        <v>1</v>
      </c>
      <c r="G1287" s="249"/>
      <c r="H1287" s="249">
        <f t="shared" si="335"/>
        <v>0</v>
      </c>
      <c r="I1287" s="275">
        <f t="shared" si="333"/>
        <v>0</v>
      </c>
      <c r="J1287" s="74" t="e">
        <f t="shared" si="334"/>
        <v>#DIV/0!</v>
      </c>
    </row>
    <row r="1288" spans="1:10" s="100" customFormat="1" ht="15.75" customHeight="1" outlineLevel="1">
      <c r="A1288" s="63" t="s">
        <v>1652</v>
      </c>
      <c r="B1288" s="63">
        <v>92369</v>
      </c>
      <c r="C1288" s="63" t="s">
        <v>18</v>
      </c>
      <c r="D1288" s="65" t="s">
        <v>242</v>
      </c>
      <c r="E1288" s="66" t="s">
        <v>221</v>
      </c>
      <c r="F1288" s="64">
        <v>1</v>
      </c>
      <c r="G1288" s="249"/>
      <c r="H1288" s="249">
        <f t="shared" si="335"/>
        <v>0</v>
      </c>
      <c r="I1288" s="275">
        <f t="shared" si="333"/>
        <v>0</v>
      </c>
      <c r="J1288" s="74" t="e">
        <f t="shared" si="334"/>
        <v>#DIV/0!</v>
      </c>
    </row>
    <row r="1289" spans="1:10" s="100" customFormat="1" ht="15.75" customHeight="1" outlineLevel="1">
      <c r="A1289" s="63" t="s">
        <v>1653</v>
      </c>
      <c r="B1289" s="63">
        <v>99619</v>
      </c>
      <c r="C1289" s="63" t="s">
        <v>18</v>
      </c>
      <c r="D1289" s="65" t="s">
        <v>61</v>
      </c>
      <c r="E1289" s="66" t="s">
        <v>221</v>
      </c>
      <c r="F1289" s="64">
        <v>1</v>
      </c>
      <c r="G1289" s="249"/>
      <c r="H1289" s="249">
        <f t="shared" si="335"/>
        <v>0</v>
      </c>
      <c r="I1289" s="275">
        <f t="shared" si="333"/>
        <v>0</v>
      </c>
      <c r="J1289" s="74" t="e">
        <f t="shared" si="334"/>
        <v>#DIV/0!</v>
      </c>
    </row>
    <row r="1290" spans="1:10" s="100" customFormat="1" ht="15.75" customHeight="1" outlineLevel="1">
      <c r="A1290" s="63" t="s">
        <v>1654</v>
      </c>
      <c r="B1290" s="63">
        <v>95248</v>
      </c>
      <c r="C1290" s="63" t="s">
        <v>18</v>
      </c>
      <c r="D1290" s="65" t="s">
        <v>62</v>
      </c>
      <c r="E1290" s="66" t="s">
        <v>221</v>
      </c>
      <c r="F1290" s="64">
        <v>1</v>
      </c>
      <c r="G1290" s="249"/>
      <c r="H1290" s="249">
        <f t="shared" si="335"/>
        <v>0</v>
      </c>
      <c r="I1290" s="275">
        <f t="shared" si="333"/>
        <v>0</v>
      </c>
      <c r="J1290" s="74" t="e">
        <f t="shared" si="334"/>
        <v>#DIV/0!</v>
      </c>
    </row>
    <row r="1291" spans="1:10" s="100" customFormat="1" ht="15.75" customHeight="1" outlineLevel="1">
      <c r="A1291" s="63" t="s">
        <v>1655</v>
      </c>
      <c r="B1291" s="63">
        <v>92892</v>
      </c>
      <c r="C1291" s="63" t="s">
        <v>18</v>
      </c>
      <c r="D1291" s="65" t="s">
        <v>63</v>
      </c>
      <c r="E1291" s="66" t="s">
        <v>221</v>
      </c>
      <c r="F1291" s="64">
        <v>1</v>
      </c>
      <c r="G1291" s="249"/>
      <c r="H1291" s="249">
        <f t="shared" si="335"/>
        <v>0</v>
      </c>
      <c r="I1291" s="275">
        <f t="shared" si="333"/>
        <v>0</v>
      </c>
      <c r="J1291" s="74" t="e">
        <f t="shared" si="334"/>
        <v>#DIV/0!</v>
      </c>
    </row>
    <row r="1292" spans="1:10" s="100" customFormat="1" ht="28.5" customHeight="1" outlineLevel="1">
      <c r="A1292" s="63" t="s">
        <v>1656</v>
      </c>
      <c r="B1292" s="63">
        <v>97498</v>
      </c>
      <c r="C1292" s="63" t="s">
        <v>18</v>
      </c>
      <c r="D1292" s="85" t="s">
        <v>64</v>
      </c>
      <c r="E1292" s="86" t="s">
        <v>221</v>
      </c>
      <c r="F1292" s="80">
        <v>1</v>
      </c>
      <c r="G1292" s="124"/>
      <c r="H1292" s="124">
        <f t="shared" si="335"/>
        <v>0</v>
      </c>
      <c r="I1292" s="275">
        <f t="shared" si="333"/>
        <v>0</v>
      </c>
      <c r="J1292" s="74" t="e">
        <f t="shared" si="334"/>
        <v>#DIV/0!</v>
      </c>
    </row>
    <row r="1293" spans="1:10" s="100" customFormat="1" ht="16.5" customHeight="1">
      <c r="A1293" s="378" t="s">
        <v>1657</v>
      </c>
      <c r="B1293" s="378"/>
      <c r="C1293" s="378"/>
      <c r="D1293" s="378"/>
      <c r="E1293" s="378"/>
      <c r="F1293" s="378"/>
      <c r="G1293" s="378"/>
      <c r="H1293" s="378"/>
      <c r="I1293" s="177">
        <f>SUM(I1276:I1292)</f>
        <v>0</v>
      </c>
      <c r="J1293" s="144" t="e">
        <f>SUM(J1276:J1292)</f>
        <v>#DIV/0!</v>
      </c>
    </row>
    <row r="1294" spans="1:10" s="8" customFormat="1" ht="15.75" customHeight="1">
      <c r="A1294" s="205" t="s">
        <v>1658</v>
      </c>
      <c r="B1294" s="60"/>
      <c r="C1294" s="60"/>
      <c r="D1294" s="206" t="s">
        <v>65</v>
      </c>
      <c r="E1294" s="207"/>
      <c r="F1294" s="208"/>
      <c r="G1294" s="209"/>
      <c r="H1294" s="209"/>
      <c r="I1294" s="209"/>
      <c r="J1294" s="210"/>
    </row>
    <row r="1295" spans="1:10" s="100" customFormat="1" ht="15.75" customHeight="1" outlineLevel="1">
      <c r="A1295" s="63" t="s">
        <v>1659</v>
      </c>
      <c r="B1295" s="63" t="s">
        <v>66</v>
      </c>
      <c r="C1295" s="63" t="s">
        <v>9</v>
      </c>
      <c r="D1295" s="82" t="s">
        <v>67</v>
      </c>
      <c r="E1295" s="83" t="s">
        <v>221</v>
      </c>
      <c r="F1295" s="75">
        <v>1</v>
      </c>
      <c r="G1295" s="84" t="s">
        <v>10</v>
      </c>
      <c r="H1295" s="84"/>
      <c r="I1295" s="275">
        <f>F1295*H1295</f>
        <v>0</v>
      </c>
      <c r="J1295" s="74" t="e">
        <f t="shared" ref="J1295:J1306" si="336">I1295/$I$1421</f>
        <v>#DIV/0!</v>
      </c>
    </row>
    <row r="1296" spans="1:10" s="100" customFormat="1" ht="15.75" customHeight="1" outlineLevel="1">
      <c r="A1296" s="63" t="s">
        <v>1660</v>
      </c>
      <c r="B1296" s="63" t="s">
        <v>243</v>
      </c>
      <c r="C1296" s="63" t="s">
        <v>7</v>
      </c>
      <c r="D1296" s="65" t="s">
        <v>244</v>
      </c>
      <c r="E1296" s="66" t="s">
        <v>221</v>
      </c>
      <c r="F1296" s="64">
        <v>4</v>
      </c>
      <c r="G1296" s="249"/>
      <c r="H1296" s="249">
        <f t="shared" ref="H1296:H1305" si="337">TRUNC((G1296*(1+$I$12)),2)</f>
        <v>0</v>
      </c>
      <c r="I1296" s="275">
        <f t="shared" ref="I1296:I1306" si="338">F1296*H1296</f>
        <v>0</v>
      </c>
      <c r="J1296" s="74" t="e">
        <f t="shared" si="336"/>
        <v>#DIV/0!</v>
      </c>
    </row>
    <row r="1297" spans="1:10" s="100" customFormat="1" ht="15.75" customHeight="1" outlineLevel="1">
      <c r="A1297" s="63" t="s">
        <v>1661</v>
      </c>
      <c r="B1297" s="63" t="s">
        <v>68</v>
      </c>
      <c r="C1297" s="63" t="s">
        <v>7</v>
      </c>
      <c r="D1297" s="65" t="s">
        <v>69</v>
      </c>
      <c r="E1297" s="66" t="s">
        <v>221</v>
      </c>
      <c r="F1297" s="64">
        <v>4</v>
      </c>
      <c r="G1297" s="249"/>
      <c r="H1297" s="249">
        <f t="shared" si="337"/>
        <v>0</v>
      </c>
      <c r="I1297" s="275">
        <f t="shared" si="338"/>
        <v>0</v>
      </c>
      <c r="J1297" s="74" t="e">
        <f t="shared" si="336"/>
        <v>#DIV/0!</v>
      </c>
    </row>
    <row r="1298" spans="1:10" s="100" customFormat="1" ht="15.75" customHeight="1" outlineLevel="1">
      <c r="A1298" s="63" t="s">
        <v>1662</v>
      </c>
      <c r="B1298" s="63" t="s">
        <v>76</v>
      </c>
      <c r="C1298" s="63" t="s">
        <v>7</v>
      </c>
      <c r="D1298" s="65" t="s">
        <v>77</v>
      </c>
      <c r="E1298" s="66" t="s">
        <v>115</v>
      </c>
      <c r="F1298" s="64">
        <f>F1299</f>
        <v>128</v>
      </c>
      <c r="G1298" s="249"/>
      <c r="H1298" s="249">
        <f t="shared" si="337"/>
        <v>0</v>
      </c>
      <c r="I1298" s="275">
        <f t="shared" si="338"/>
        <v>0</v>
      </c>
      <c r="J1298" s="74" t="e">
        <f t="shared" si="336"/>
        <v>#DIV/0!</v>
      </c>
    </row>
    <row r="1299" spans="1:10" s="100" customFormat="1" ht="27" outlineLevel="1">
      <c r="A1299" s="63" t="s">
        <v>1663</v>
      </c>
      <c r="B1299" s="63" t="s">
        <v>245</v>
      </c>
      <c r="C1299" s="63" t="s">
        <v>7</v>
      </c>
      <c r="D1299" s="65" t="s">
        <v>80</v>
      </c>
      <c r="E1299" s="66" t="s">
        <v>115</v>
      </c>
      <c r="F1299" s="64">
        <f>(F1300+F1301)-15.4</f>
        <v>128</v>
      </c>
      <c r="G1299" s="249"/>
      <c r="H1299" s="249">
        <f t="shared" si="337"/>
        <v>0</v>
      </c>
      <c r="I1299" s="275">
        <f t="shared" si="338"/>
        <v>0</v>
      </c>
      <c r="J1299" s="74" t="e">
        <f t="shared" si="336"/>
        <v>#DIV/0!</v>
      </c>
    </row>
    <row r="1300" spans="1:10" s="100" customFormat="1" ht="27" outlineLevel="1">
      <c r="A1300" s="63" t="s">
        <v>1664</v>
      </c>
      <c r="B1300" s="63">
        <v>92367</v>
      </c>
      <c r="C1300" s="63" t="s">
        <v>18</v>
      </c>
      <c r="D1300" s="65" t="s">
        <v>246</v>
      </c>
      <c r="E1300" s="66" t="s">
        <v>115</v>
      </c>
      <c r="F1300" s="64">
        <f>0.1+6.7+1.6+7+20.8+1.6+9.7+9.1+1.6+34.2+1.6</f>
        <v>94</v>
      </c>
      <c r="G1300" s="249"/>
      <c r="H1300" s="249">
        <f t="shared" si="337"/>
        <v>0</v>
      </c>
      <c r="I1300" s="275">
        <f t="shared" si="338"/>
        <v>0</v>
      </c>
      <c r="J1300" s="74" t="e">
        <f t="shared" si="336"/>
        <v>#DIV/0!</v>
      </c>
    </row>
    <row r="1301" spans="1:10" s="100" customFormat="1" ht="27" outlineLevel="1">
      <c r="A1301" s="63" t="s">
        <v>1665</v>
      </c>
      <c r="B1301" s="63">
        <v>92368</v>
      </c>
      <c r="C1301" s="63" t="s">
        <v>18</v>
      </c>
      <c r="D1301" s="65" t="s">
        <v>38</v>
      </c>
      <c r="E1301" s="66" t="s">
        <v>115</v>
      </c>
      <c r="F1301" s="64">
        <f>15.4+2.3+2.1+8.4+7.5+1+2.1+3+7.6</f>
        <v>49.400000000000006</v>
      </c>
      <c r="G1301" s="249"/>
      <c r="H1301" s="249">
        <f t="shared" si="337"/>
        <v>0</v>
      </c>
      <c r="I1301" s="275">
        <f t="shared" si="338"/>
        <v>0</v>
      </c>
      <c r="J1301" s="74" t="e">
        <f t="shared" si="336"/>
        <v>#DIV/0!</v>
      </c>
    </row>
    <row r="1302" spans="1:10" s="100" customFormat="1" ht="27" outlineLevel="1">
      <c r="A1302" s="63" t="s">
        <v>1666</v>
      </c>
      <c r="B1302" s="63">
        <v>92357</v>
      </c>
      <c r="C1302" s="63" t="s">
        <v>18</v>
      </c>
      <c r="D1302" s="65" t="s">
        <v>247</v>
      </c>
      <c r="E1302" s="66" t="s">
        <v>221</v>
      </c>
      <c r="F1302" s="64">
        <v>2</v>
      </c>
      <c r="G1302" s="249"/>
      <c r="H1302" s="249">
        <f t="shared" si="337"/>
        <v>0</v>
      </c>
      <c r="I1302" s="275">
        <f t="shared" si="338"/>
        <v>0</v>
      </c>
      <c r="J1302" s="74" t="e">
        <f t="shared" si="336"/>
        <v>#DIV/0!</v>
      </c>
    </row>
    <row r="1303" spans="1:10" s="100" customFormat="1" ht="27" outlineLevel="1">
      <c r="A1303" s="63" t="s">
        <v>1667</v>
      </c>
      <c r="B1303" s="63">
        <v>92358</v>
      </c>
      <c r="C1303" s="63" t="s">
        <v>18</v>
      </c>
      <c r="D1303" s="65" t="s">
        <v>248</v>
      </c>
      <c r="E1303" s="66" t="s">
        <v>221</v>
      </c>
      <c r="F1303" s="64">
        <v>2</v>
      </c>
      <c r="G1303" s="249"/>
      <c r="H1303" s="249">
        <f t="shared" si="337"/>
        <v>0</v>
      </c>
      <c r="I1303" s="275">
        <f t="shared" si="338"/>
        <v>0</v>
      </c>
      <c r="J1303" s="74" t="e">
        <f t="shared" si="336"/>
        <v>#DIV/0!</v>
      </c>
    </row>
    <row r="1304" spans="1:10" s="100" customFormat="1" ht="27" outlineLevel="1">
      <c r="A1304" s="63" t="s">
        <v>1668</v>
      </c>
      <c r="B1304" s="63">
        <v>92353</v>
      </c>
      <c r="C1304" s="63" t="s">
        <v>18</v>
      </c>
      <c r="D1304" s="65" t="s">
        <v>249</v>
      </c>
      <c r="E1304" s="66" t="s">
        <v>221</v>
      </c>
      <c r="F1304" s="64">
        <v>5</v>
      </c>
      <c r="G1304" s="249"/>
      <c r="H1304" s="249">
        <f t="shared" si="337"/>
        <v>0</v>
      </c>
      <c r="I1304" s="275">
        <f t="shared" si="338"/>
        <v>0</v>
      </c>
      <c r="J1304" s="74" t="e">
        <f t="shared" si="336"/>
        <v>#DIV/0!</v>
      </c>
    </row>
    <row r="1305" spans="1:10" s="100" customFormat="1" ht="27" outlineLevel="1">
      <c r="A1305" s="63" t="s">
        <v>1669</v>
      </c>
      <c r="B1305" s="63">
        <v>92354</v>
      </c>
      <c r="C1305" s="63" t="s">
        <v>18</v>
      </c>
      <c r="D1305" s="65" t="s">
        <v>250</v>
      </c>
      <c r="E1305" s="66" t="s">
        <v>221</v>
      </c>
      <c r="F1305" s="64">
        <v>7</v>
      </c>
      <c r="G1305" s="249"/>
      <c r="H1305" s="249">
        <f t="shared" si="337"/>
        <v>0</v>
      </c>
      <c r="I1305" s="275">
        <f t="shared" si="338"/>
        <v>0</v>
      </c>
      <c r="J1305" s="74" t="e">
        <f t="shared" si="336"/>
        <v>#DIV/0!</v>
      </c>
    </row>
    <row r="1306" spans="1:10" s="100" customFormat="1" ht="15.75" customHeight="1" outlineLevel="1">
      <c r="A1306" s="63" t="s">
        <v>1670</v>
      </c>
      <c r="B1306" s="63" t="s">
        <v>11</v>
      </c>
      <c r="C1306" s="63" t="s">
        <v>9</v>
      </c>
      <c r="D1306" s="85" t="s">
        <v>70</v>
      </c>
      <c r="E1306" s="86" t="s">
        <v>116</v>
      </c>
      <c r="F1306" s="80">
        <f>(2*3.14*(0.065/2)*F1300)+(2*3.14*(0.08/2)*F1301)</f>
        <v>31.594680000000004</v>
      </c>
      <c r="G1306" s="124" t="s">
        <v>10</v>
      </c>
      <c r="H1306" s="124"/>
      <c r="I1306" s="275">
        <f t="shared" si="338"/>
        <v>0</v>
      </c>
      <c r="J1306" s="74" t="e">
        <f t="shared" si="336"/>
        <v>#DIV/0!</v>
      </c>
    </row>
    <row r="1307" spans="1:10" s="100" customFormat="1" ht="16.5" customHeight="1">
      <c r="A1307" s="378" t="s">
        <v>1671</v>
      </c>
      <c r="B1307" s="378"/>
      <c r="C1307" s="378"/>
      <c r="D1307" s="378"/>
      <c r="E1307" s="378"/>
      <c r="F1307" s="378"/>
      <c r="G1307" s="378"/>
      <c r="H1307" s="378"/>
      <c r="I1307" s="177">
        <f>SUM(I1295:I1306)</f>
        <v>0</v>
      </c>
      <c r="J1307" s="144" t="e">
        <f>SUM(J1295:J1306)</f>
        <v>#DIV/0!</v>
      </c>
    </row>
    <row r="1308" spans="1:10" s="8" customFormat="1" ht="15.75" customHeight="1">
      <c r="A1308" s="205" t="s">
        <v>1672</v>
      </c>
      <c r="B1308" s="60"/>
      <c r="C1308" s="60"/>
      <c r="D1308" s="206" t="s">
        <v>251</v>
      </c>
      <c r="E1308" s="207"/>
      <c r="F1308" s="208"/>
      <c r="G1308" s="209"/>
      <c r="H1308" s="209"/>
      <c r="I1308" s="209"/>
      <c r="J1308" s="210"/>
    </row>
    <row r="1309" spans="1:10" s="100" customFormat="1" ht="15.75" customHeight="1" outlineLevel="1">
      <c r="A1309" s="63" t="s">
        <v>1673</v>
      </c>
      <c r="B1309" s="63" t="s">
        <v>127</v>
      </c>
      <c r="C1309" s="63" t="s">
        <v>7</v>
      </c>
      <c r="D1309" s="82" t="s">
        <v>128</v>
      </c>
      <c r="E1309" s="88" t="s">
        <v>218</v>
      </c>
      <c r="F1309" s="75">
        <f>(15.4+2.3+2.1+8.4+7.5)*0.15*0.1</f>
        <v>0.53550000000000009</v>
      </c>
      <c r="G1309" s="84"/>
      <c r="H1309" s="84">
        <f>TRUNC((G1309*(1+$I$12)),2)</f>
        <v>0</v>
      </c>
      <c r="I1309" s="275">
        <f t="shared" ref="I1309:I1312" si="339">TRUNC((F1309*H1309),2)</f>
        <v>0</v>
      </c>
      <c r="J1309" s="74" t="e">
        <f>I1309/$I$1421</f>
        <v>#DIV/0!</v>
      </c>
    </row>
    <row r="1310" spans="1:10" s="100" customFormat="1" ht="15.75" customHeight="1" outlineLevel="1">
      <c r="A1310" s="63" t="s">
        <v>1674</v>
      </c>
      <c r="B1310" s="67" t="s">
        <v>46</v>
      </c>
      <c r="C1310" s="63" t="s">
        <v>9</v>
      </c>
      <c r="D1310" s="65" t="s">
        <v>47</v>
      </c>
      <c r="E1310" s="68" t="s">
        <v>218</v>
      </c>
      <c r="F1310" s="302">
        <f>(15.4+2.3+2.1+8.4+7.5)*0.15*0.6</f>
        <v>3.2130000000000001</v>
      </c>
      <c r="G1310" s="249" t="s">
        <v>10</v>
      </c>
      <c r="H1310" s="249"/>
      <c r="I1310" s="275">
        <f t="shared" si="339"/>
        <v>0</v>
      </c>
      <c r="J1310" s="74" t="e">
        <f>I1310/$I$1421</f>
        <v>#DIV/0!</v>
      </c>
    </row>
    <row r="1311" spans="1:10" s="100" customFormat="1" ht="15.75" customHeight="1" outlineLevel="1">
      <c r="A1311" s="63" t="s">
        <v>1675</v>
      </c>
      <c r="B1311" s="63" t="s">
        <v>48</v>
      </c>
      <c r="C1311" s="63" t="s">
        <v>9</v>
      </c>
      <c r="D1311" s="65" t="s">
        <v>21</v>
      </c>
      <c r="E1311" s="68" t="s">
        <v>218</v>
      </c>
      <c r="F1311" s="302">
        <f>(15.4+2.3+2.1+8.4+7.5)*0.15*0.6</f>
        <v>3.2130000000000001</v>
      </c>
      <c r="G1311" s="249" t="s">
        <v>10</v>
      </c>
      <c r="H1311" s="249"/>
      <c r="I1311" s="275">
        <f t="shared" si="339"/>
        <v>0</v>
      </c>
      <c r="J1311" s="74" t="e">
        <f>I1311/$I$1421</f>
        <v>#DIV/0!</v>
      </c>
    </row>
    <row r="1312" spans="1:10" s="100" customFormat="1" ht="27" outlineLevel="1">
      <c r="A1312" s="63" t="s">
        <v>1676</v>
      </c>
      <c r="B1312" s="63">
        <v>94990</v>
      </c>
      <c r="C1312" s="63" t="s">
        <v>18</v>
      </c>
      <c r="D1312" s="85" t="s">
        <v>230</v>
      </c>
      <c r="E1312" s="87" t="s">
        <v>218</v>
      </c>
      <c r="F1312" s="80">
        <f>(15.4+2.3+2.1+8.4+7.5)*0.15*0.1</f>
        <v>0.53550000000000009</v>
      </c>
      <c r="G1312" s="124"/>
      <c r="H1312" s="124">
        <f>TRUNC((G1312*(1+$I$12)),2)</f>
        <v>0</v>
      </c>
      <c r="I1312" s="275">
        <f t="shared" si="339"/>
        <v>0</v>
      </c>
      <c r="J1312" s="74" t="e">
        <f>I1312/$I$1421</f>
        <v>#DIV/0!</v>
      </c>
    </row>
    <row r="1313" spans="1:11" s="100" customFormat="1" ht="16.5" customHeight="1">
      <c r="A1313" s="378" t="s">
        <v>1677</v>
      </c>
      <c r="B1313" s="378"/>
      <c r="C1313" s="378"/>
      <c r="D1313" s="378"/>
      <c r="E1313" s="378"/>
      <c r="F1313" s="378"/>
      <c r="G1313" s="378"/>
      <c r="H1313" s="378"/>
      <c r="I1313" s="177">
        <f>SUM(I1309:I1312)</f>
        <v>0</v>
      </c>
      <c r="J1313" s="144" t="e">
        <f>SUM(J1309:J1312)</f>
        <v>#DIV/0!</v>
      </c>
    </row>
    <row r="1314" spans="1:11" s="100" customFormat="1" ht="16.5" customHeight="1">
      <c r="A1314" s="378" t="s">
        <v>1678</v>
      </c>
      <c r="B1314" s="378"/>
      <c r="C1314" s="378"/>
      <c r="D1314" s="378"/>
      <c r="E1314" s="378"/>
      <c r="F1314" s="378"/>
      <c r="G1314" s="378"/>
      <c r="H1314" s="378"/>
      <c r="I1314" s="177">
        <f>I1274+I1293+I1307+I1313</f>
        <v>0</v>
      </c>
      <c r="J1314" s="144" t="e">
        <f>J1274+J1293+J1307+J1313</f>
        <v>#DIV/0!</v>
      </c>
      <c r="K1314" s="318" t="e">
        <f>I1314/$I$1401</f>
        <v>#DIV/0!</v>
      </c>
    </row>
    <row r="1315" spans="1:11" s="191" customFormat="1" ht="15.75" customHeight="1">
      <c r="A1315" s="70" t="s">
        <v>1679</v>
      </c>
      <c r="B1315" s="60"/>
      <c r="C1315" s="60"/>
      <c r="D1315" s="77" t="s">
        <v>252</v>
      </c>
      <c r="E1315" s="78"/>
      <c r="F1315" s="78"/>
      <c r="G1315" s="181"/>
      <c r="H1315" s="181"/>
      <c r="I1315" s="181"/>
      <c r="J1315" s="79"/>
    </row>
    <row r="1316" spans="1:11" s="100" customFormat="1" ht="15.75" customHeight="1" outlineLevel="1">
      <c r="A1316" s="63" t="s">
        <v>1680</v>
      </c>
      <c r="B1316" s="63" t="s">
        <v>71</v>
      </c>
      <c r="C1316" s="63" t="s">
        <v>9</v>
      </c>
      <c r="D1316" s="82" t="s">
        <v>253</v>
      </c>
      <c r="E1316" s="83" t="s">
        <v>221</v>
      </c>
      <c r="F1316" s="305">
        <v>1</v>
      </c>
      <c r="G1316" s="84" t="s">
        <v>10</v>
      </c>
      <c r="H1316" s="84"/>
      <c r="I1316" s="275">
        <f t="shared" ref="I1316:I1327" si="340">TRUNC((F1316*H1316),2)</f>
        <v>0</v>
      </c>
      <c r="J1316" s="74" t="e">
        <f t="shared" ref="J1316:J1327" si="341">I1316/$I$1421</f>
        <v>#DIV/0!</v>
      </c>
    </row>
    <row r="1317" spans="1:11" s="100" customFormat="1" ht="15.75" customHeight="1" outlineLevel="1">
      <c r="A1317" s="63" t="s">
        <v>1681</v>
      </c>
      <c r="B1317" s="63" t="s">
        <v>72</v>
      </c>
      <c r="C1317" s="63" t="s">
        <v>9</v>
      </c>
      <c r="D1317" s="65" t="s">
        <v>73</v>
      </c>
      <c r="E1317" s="66" t="s">
        <v>221</v>
      </c>
      <c r="F1317" s="64">
        <v>4</v>
      </c>
      <c r="G1317" s="249" t="s">
        <v>10</v>
      </c>
      <c r="H1317" s="249"/>
      <c r="I1317" s="275">
        <f t="shared" si="340"/>
        <v>0</v>
      </c>
      <c r="J1317" s="74" t="e">
        <f t="shared" si="341"/>
        <v>#DIV/0!</v>
      </c>
    </row>
    <row r="1318" spans="1:11" s="100" customFormat="1" ht="15.75" customHeight="1" outlineLevel="1">
      <c r="A1318" s="63" t="s">
        <v>1682</v>
      </c>
      <c r="B1318" s="63" t="s">
        <v>74</v>
      </c>
      <c r="C1318" s="63" t="s">
        <v>9</v>
      </c>
      <c r="D1318" s="65" t="s">
        <v>75</v>
      </c>
      <c r="E1318" s="66" t="s">
        <v>221</v>
      </c>
      <c r="F1318" s="64">
        <v>4</v>
      </c>
      <c r="G1318" s="249" t="s">
        <v>10</v>
      </c>
      <c r="H1318" s="249"/>
      <c r="I1318" s="275">
        <f t="shared" si="340"/>
        <v>0</v>
      </c>
      <c r="J1318" s="74" t="e">
        <f t="shared" si="341"/>
        <v>#DIV/0!</v>
      </c>
    </row>
    <row r="1319" spans="1:11" s="100" customFormat="1" ht="15.75" customHeight="1" outlineLevel="1">
      <c r="A1319" s="63" t="s">
        <v>1683</v>
      </c>
      <c r="B1319" s="63" t="s">
        <v>76</v>
      </c>
      <c r="C1319" s="63" t="s">
        <v>7</v>
      </c>
      <c r="D1319" s="65" t="s">
        <v>77</v>
      </c>
      <c r="E1319" s="66" t="s">
        <v>115</v>
      </c>
      <c r="F1319" s="64">
        <f>0.1+6.7+1.6+7+20.8+1.6+9.7+9.1+1.6+34.2+1.6</f>
        <v>94</v>
      </c>
      <c r="G1319" s="249"/>
      <c r="H1319" s="249">
        <f>TRUNC((G1319*(1+$I$12)),2)</f>
        <v>0</v>
      </c>
      <c r="I1319" s="275">
        <f t="shared" si="340"/>
        <v>0</v>
      </c>
      <c r="J1319" s="74" t="e">
        <f t="shared" si="341"/>
        <v>#DIV/0!</v>
      </c>
    </row>
    <row r="1320" spans="1:11" s="100" customFormat="1" ht="15.75" customHeight="1" outlineLevel="1">
      <c r="A1320" s="63" t="s">
        <v>1684</v>
      </c>
      <c r="B1320" s="63" t="s">
        <v>11</v>
      </c>
      <c r="C1320" s="63" t="s">
        <v>9</v>
      </c>
      <c r="D1320" s="65" t="s">
        <v>39</v>
      </c>
      <c r="E1320" s="66" t="s">
        <v>116</v>
      </c>
      <c r="F1320" s="64">
        <f>2*3.14*(0.065/2)*F1319</f>
        <v>19.185400000000001</v>
      </c>
      <c r="G1320" s="249" t="s">
        <v>10</v>
      </c>
      <c r="H1320" s="249"/>
      <c r="I1320" s="275">
        <f t="shared" si="340"/>
        <v>0</v>
      </c>
      <c r="J1320" s="74" t="e">
        <f t="shared" si="341"/>
        <v>#DIV/0!</v>
      </c>
    </row>
    <row r="1321" spans="1:11" s="100" customFormat="1" ht="15.75" customHeight="1" outlineLevel="1">
      <c r="A1321" s="63" t="s">
        <v>1685</v>
      </c>
      <c r="B1321" s="63" t="s">
        <v>78</v>
      </c>
      <c r="C1321" s="63" t="s">
        <v>9</v>
      </c>
      <c r="D1321" s="65" t="s">
        <v>79</v>
      </c>
      <c r="E1321" s="66" t="s">
        <v>221</v>
      </c>
      <c r="F1321" s="64">
        <v>1</v>
      </c>
      <c r="G1321" s="249" t="s">
        <v>10</v>
      </c>
      <c r="H1321" s="249"/>
      <c r="I1321" s="275">
        <f t="shared" si="340"/>
        <v>0</v>
      </c>
      <c r="J1321" s="74" t="e">
        <f t="shared" si="341"/>
        <v>#DIV/0!</v>
      </c>
    </row>
    <row r="1322" spans="1:11" s="100" customFormat="1" ht="27" outlineLevel="1">
      <c r="A1322" s="63" t="s">
        <v>1686</v>
      </c>
      <c r="B1322" s="63" t="s">
        <v>245</v>
      </c>
      <c r="C1322" s="63" t="s">
        <v>7</v>
      </c>
      <c r="D1322" s="65" t="s">
        <v>80</v>
      </c>
      <c r="E1322" s="66" t="s">
        <v>115</v>
      </c>
      <c r="F1322" s="64">
        <f>F1319</f>
        <v>94</v>
      </c>
      <c r="G1322" s="249"/>
      <c r="H1322" s="249">
        <f>TRUNC((G1322*(1+$I$12)),2)</f>
        <v>0</v>
      </c>
      <c r="I1322" s="275">
        <f t="shared" si="340"/>
        <v>0</v>
      </c>
      <c r="J1322" s="74" t="e">
        <f t="shared" si="341"/>
        <v>#DIV/0!</v>
      </c>
    </row>
    <row r="1323" spans="1:11" s="100" customFormat="1" ht="40.5" outlineLevel="1">
      <c r="A1323" s="63" t="s">
        <v>1687</v>
      </c>
      <c r="B1323" s="63">
        <v>104473</v>
      </c>
      <c r="C1323" s="63" t="s">
        <v>18</v>
      </c>
      <c r="D1323" s="65" t="s">
        <v>254</v>
      </c>
      <c r="E1323" s="66" t="s">
        <v>221</v>
      </c>
      <c r="F1323" s="64">
        <f>F1324</f>
        <v>20</v>
      </c>
      <c r="G1323" s="249"/>
      <c r="H1323" s="249">
        <f>TRUNC((G1323*(1+$I$12)),2)</f>
        <v>0</v>
      </c>
      <c r="I1323" s="275">
        <f t="shared" si="340"/>
        <v>0</v>
      </c>
      <c r="J1323" s="74" t="e">
        <f t="shared" si="341"/>
        <v>#DIV/0!</v>
      </c>
    </row>
    <row r="1324" spans="1:11" s="100" customFormat="1" ht="15.75" customHeight="1" outlineLevel="1">
      <c r="A1324" s="63" t="s">
        <v>1688</v>
      </c>
      <c r="B1324" s="63" t="s">
        <v>81</v>
      </c>
      <c r="C1324" s="63" t="s">
        <v>9</v>
      </c>
      <c r="D1324" s="65" t="s">
        <v>255</v>
      </c>
      <c r="E1324" s="66" t="s">
        <v>221</v>
      </c>
      <c r="F1324" s="64">
        <v>20</v>
      </c>
      <c r="G1324" s="249" t="s">
        <v>10</v>
      </c>
      <c r="H1324" s="249"/>
      <c r="I1324" s="275">
        <f t="shared" si="340"/>
        <v>0</v>
      </c>
      <c r="J1324" s="74" t="e">
        <f t="shared" si="341"/>
        <v>#DIV/0!</v>
      </c>
    </row>
    <row r="1325" spans="1:11" s="100" customFormat="1" ht="15.75" customHeight="1" outlineLevel="1">
      <c r="A1325" s="63" t="s">
        <v>1689</v>
      </c>
      <c r="B1325" s="63" t="s">
        <v>256</v>
      </c>
      <c r="C1325" s="63" t="s">
        <v>7</v>
      </c>
      <c r="D1325" s="65" t="s">
        <v>257</v>
      </c>
      <c r="E1325" s="68" t="s">
        <v>116</v>
      </c>
      <c r="F1325" s="64">
        <f>(F1326+F1327)*(1*1)</f>
        <v>14</v>
      </c>
      <c r="G1325" s="249"/>
      <c r="H1325" s="249">
        <f>TRUNC((G1325*(1+$I$12)),2)</f>
        <v>0</v>
      </c>
      <c r="I1325" s="275">
        <f t="shared" si="340"/>
        <v>0</v>
      </c>
      <c r="J1325" s="74" t="e">
        <f t="shared" si="341"/>
        <v>#DIV/0!</v>
      </c>
    </row>
    <row r="1326" spans="1:11" s="100" customFormat="1" ht="15.75" customHeight="1" outlineLevel="1">
      <c r="A1326" s="63" t="s">
        <v>1690</v>
      </c>
      <c r="B1326" s="63" t="s">
        <v>82</v>
      </c>
      <c r="C1326" s="63" t="s">
        <v>9</v>
      </c>
      <c r="D1326" s="65" t="s">
        <v>83</v>
      </c>
      <c r="E1326" s="66" t="s">
        <v>221</v>
      </c>
      <c r="F1326" s="64">
        <v>2</v>
      </c>
      <c r="G1326" s="249" t="s">
        <v>10</v>
      </c>
      <c r="H1326" s="249"/>
      <c r="I1326" s="275">
        <f t="shared" si="340"/>
        <v>0</v>
      </c>
      <c r="J1326" s="74" t="e">
        <f t="shared" si="341"/>
        <v>#DIV/0!</v>
      </c>
    </row>
    <row r="1327" spans="1:11" s="100" customFormat="1" ht="15.75" customHeight="1" outlineLevel="1">
      <c r="A1327" s="63" t="s">
        <v>1691</v>
      </c>
      <c r="B1327" s="63" t="s">
        <v>84</v>
      </c>
      <c r="C1327" s="63" t="s">
        <v>9</v>
      </c>
      <c r="D1327" s="85" t="s">
        <v>85</v>
      </c>
      <c r="E1327" s="86" t="s">
        <v>221</v>
      </c>
      <c r="F1327" s="306">
        <v>12</v>
      </c>
      <c r="G1327" s="124" t="s">
        <v>10</v>
      </c>
      <c r="H1327" s="124"/>
      <c r="I1327" s="275">
        <f t="shared" si="340"/>
        <v>0</v>
      </c>
      <c r="J1327" s="74" t="e">
        <f t="shared" si="341"/>
        <v>#DIV/0!</v>
      </c>
    </row>
    <row r="1328" spans="1:11" s="100" customFormat="1" ht="16.5" customHeight="1">
      <c r="A1328" s="378" t="s">
        <v>1692</v>
      </c>
      <c r="B1328" s="378"/>
      <c r="C1328" s="378"/>
      <c r="D1328" s="378"/>
      <c r="E1328" s="378"/>
      <c r="F1328" s="378"/>
      <c r="G1328" s="378"/>
      <c r="H1328" s="378"/>
      <c r="I1328" s="177">
        <f>SUM(I1316:I1327)</f>
        <v>0</v>
      </c>
      <c r="J1328" s="144" t="e">
        <f>SUM(J1316:J1327)</f>
        <v>#DIV/0!</v>
      </c>
      <c r="K1328" s="318" t="e">
        <f>I1328/$I$1401</f>
        <v>#DIV/0!</v>
      </c>
    </row>
    <row r="1329" spans="1:11" s="115" customFormat="1" ht="15.75" customHeight="1">
      <c r="A1329" s="70" t="s">
        <v>1693</v>
      </c>
      <c r="B1329" s="60"/>
      <c r="C1329" s="60"/>
      <c r="D1329" s="77" t="s">
        <v>1992</v>
      </c>
      <c r="E1329" s="78"/>
      <c r="F1329" s="78"/>
      <c r="G1329" s="181"/>
      <c r="H1329" s="181"/>
      <c r="I1329" s="181"/>
      <c r="J1329" s="79"/>
    </row>
    <row r="1330" spans="1:11" s="71" customFormat="1" ht="27" outlineLevel="1">
      <c r="A1330" s="63" t="s">
        <v>1694</v>
      </c>
      <c r="B1330" s="255" t="s">
        <v>86</v>
      </c>
      <c r="C1330" s="255" t="s">
        <v>7</v>
      </c>
      <c r="D1330" s="82" t="s">
        <v>87</v>
      </c>
      <c r="E1330" s="83" t="s">
        <v>221</v>
      </c>
      <c r="F1330" s="75">
        <f>F1326+F1327</f>
        <v>14</v>
      </c>
      <c r="G1330" s="84"/>
      <c r="H1330" s="84">
        <f>TRUNC((G1330*(1+$I$12)),2)</f>
        <v>0</v>
      </c>
      <c r="I1330" s="275">
        <f>TRUNC((F1330*H1330),2)</f>
        <v>0</v>
      </c>
      <c r="J1330" s="74" t="e">
        <f>I1330/$I$1421</f>
        <v>#DIV/0!</v>
      </c>
    </row>
    <row r="1331" spans="1:11" s="71" customFormat="1" ht="27" outlineLevel="1">
      <c r="A1331" s="63" t="s">
        <v>1695</v>
      </c>
      <c r="B1331" s="63" t="s">
        <v>88</v>
      </c>
      <c r="C1331" s="63" t="s">
        <v>7</v>
      </c>
      <c r="D1331" s="65" t="s">
        <v>89</v>
      </c>
      <c r="E1331" s="66" t="s">
        <v>221</v>
      </c>
      <c r="F1331" s="64">
        <v>40</v>
      </c>
      <c r="G1331" s="249"/>
      <c r="H1331" s="249">
        <f t="shared" ref="H1331:H1332" si="342">TRUNC((G1331*(1+$I$12)),2)</f>
        <v>0</v>
      </c>
      <c r="I1331" s="275">
        <f t="shared" ref="I1331:I1332" si="343">TRUNC((F1331*H1331),2)</f>
        <v>0</v>
      </c>
      <c r="J1331" s="74" t="e">
        <f>I1331/$I$1421</f>
        <v>#DIV/0!</v>
      </c>
    </row>
    <row r="1332" spans="1:11" s="71" customFormat="1" outlineLevel="1">
      <c r="A1332" s="63" t="s">
        <v>1696</v>
      </c>
      <c r="B1332" s="63" t="s">
        <v>90</v>
      </c>
      <c r="C1332" s="63" t="s">
        <v>7</v>
      </c>
      <c r="D1332" s="85" t="s">
        <v>91</v>
      </c>
      <c r="E1332" s="86" t="s">
        <v>221</v>
      </c>
      <c r="F1332" s="80">
        <f>F1315+F1290+F1272</f>
        <v>9</v>
      </c>
      <c r="G1332" s="124"/>
      <c r="H1332" s="124">
        <f t="shared" si="342"/>
        <v>0</v>
      </c>
      <c r="I1332" s="275">
        <f t="shared" si="343"/>
        <v>0</v>
      </c>
      <c r="J1332" s="74" t="e">
        <f>I1332/$I$1421</f>
        <v>#DIV/0!</v>
      </c>
    </row>
    <row r="1333" spans="1:11" s="71" customFormat="1" ht="18.75" customHeight="1" outlineLevel="1">
      <c r="A1333" s="63" t="s">
        <v>1993</v>
      </c>
      <c r="B1333" s="63" t="s">
        <v>1995</v>
      </c>
      <c r="C1333" s="63" t="s">
        <v>7</v>
      </c>
      <c r="D1333" s="85" t="s">
        <v>1994</v>
      </c>
      <c r="E1333" s="86" t="s">
        <v>116</v>
      </c>
      <c r="F1333" s="80">
        <v>97.87</v>
      </c>
      <c r="G1333" s="124"/>
      <c r="H1333" s="124">
        <f t="shared" ref="H1333" si="344">TRUNC((G1333*(1+$I$12)),2)</f>
        <v>0</v>
      </c>
      <c r="I1333" s="275">
        <f t="shared" ref="I1333" si="345">TRUNC((F1333*H1333),2)</f>
        <v>0</v>
      </c>
      <c r="J1333" s="74" t="e">
        <f>I1333/$I$1421</f>
        <v>#DIV/0!</v>
      </c>
    </row>
    <row r="1334" spans="1:11" s="71" customFormat="1">
      <c r="A1334" s="378" t="s">
        <v>1697</v>
      </c>
      <c r="B1334" s="378"/>
      <c r="C1334" s="378"/>
      <c r="D1334" s="378"/>
      <c r="E1334" s="378"/>
      <c r="F1334" s="378"/>
      <c r="G1334" s="378"/>
      <c r="H1334" s="378"/>
      <c r="I1334" s="177">
        <f>SUM(I1330:I1333)</f>
        <v>0</v>
      </c>
      <c r="J1334" s="144" t="e">
        <f>SUM(J1330:J1333)</f>
        <v>#DIV/0!</v>
      </c>
      <c r="K1334" s="318" t="e">
        <f>I1334/$I$1401</f>
        <v>#DIV/0!</v>
      </c>
    </row>
    <row r="1335" spans="1:11" s="115" customFormat="1" ht="15.75" customHeight="1">
      <c r="A1335" s="70" t="s">
        <v>1698</v>
      </c>
      <c r="B1335" s="60"/>
      <c r="C1335" s="60"/>
      <c r="D1335" s="211" t="s">
        <v>1128</v>
      </c>
      <c r="E1335" s="212"/>
      <c r="F1335" s="212"/>
      <c r="G1335" s="213"/>
      <c r="H1335" s="213"/>
      <c r="I1335" s="213"/>
      <c r="J1335" s="214"/>
    </row>
    <row r="1336" spans="1:11" s="73" customFormat="1">
      <c r="A1336" s="197" t="s">
        <v>1699</v>
      </c>
      <c r="B1336" s="92"/>
      <c r="C1336" s="217"/>
      <c r="D1336" s="94" t="s">
        <v>1129</v>
      </c>
      <c r="E1336" s="94"/>
      <c r="F1336" s="94"/>
      <c r="G1336" s="190"/>
      <c r="H1336" s="190"/>
      <c r="I1336" s="185"/>
      <c r="J1336" s="96"/>
    </row>
    <row r="1337" spans="1:11" s="71" customFormat="1" outlineLevel="1">
      <c r="A1337" s="63" t="s">
        <v>1700</v>
      </c>
      <c r="B1337" s="108" t="s">
        <v>127</v>
      </c>
      <c r="C1337" s="108" t="s">
        <v>7</v>
      </c>
      <c r="D1337" s="129" t="s">
        <v>128</v>
      </c>
      <c r="E1337" s="83" t="s">
        <v>218</v>
      </c>
      <c r="F1337" s="75">
        <v>2.87</v>
      </c>
      <c r="G1337" s="84"/>
      <c r="H1337" s="84">
        <f t="shared" ref="H1337:H1344" si="346">TRUNC((G1337*(1+$I$12)),2)</f>
        <v>0</v>
      </c>
      <c r="I1337" s="84">
        <f t="shared" ref="I1337:I1344" si="347">ROUND((F1337*H1337),2)</f>
        <v>0</v>
      </c>
      <c r="J1337" s="74" t="e">
        <f t="shared" ref="J1337:J1344" si="348">(I1337/$I$1421)</f>
        <v>#DIV/0!</v>
      </c>
      <c r="K1337" s="71">
        <v>2.87</v>
      </c>
    </row>
    <row r="1338" spans="1:11" s="71" customFormat="1" ht="40.5" outlineLevel="1">
      <c r="A1338" s="63" t="s">
        <v>1701</v>
      </c>
      <c r="B1338" s="63">
        <v>100983</v>
      </c>
      <c r="C1338" s="63" t="s">
        <v>18</v>
      </c>
      <c r="D1338" s="65" t="s">
        <v>1896</v>
      </c>
      <c r="E1338" s="66" t="s">
        <v>218</v>
      </c>
      <c r="F1338" s="64">
        <f>F1337*1.3</f>
        <v>3.7310000000000003</v>
      </c>
      <c r="G1338" s="350"/>
      <c r="H1338" s="350">
        <f t="shared" si="346"/>
        <v>0</v>
      </c>
      <c r="I1338" s="121">
        <f t="shared" si="347"/>
        <v>0</v>
      </c>
      <c r="J1338" s="349" t="e">
        <f t="shared" si="348"/>
        <v>#DIV/0!</v>
      </c>
    </row>
    <row r="1339" spans="1:11" s="71" customFormat="1" ht="27" outlineLevel="1">
      <c r="A1339" s="63" t="s">
        <v>1702</v>
      </c>
      <c r="B1339" s="63">
        <v>95875</v>
      </c>
      <c r="C1339" s="63" t="s">
        <v>18</v>
      </c>
      <c r="D1339" s="65" t="s">
        <v>1898</v>
      </c>
      <c r="E1339" s="66" t="s">
        <v>1897</v>
      </c>
      <c r="F1339" s="64">
        <f>F1338*4</f>
        <v>14.924000000000001</v>
      </c>
      <c r="G1339" s="350"/>
      <c r="H1339" s="350">
        <f t="shared" si="346"/>
        <v>0</v>
      </c>
      <c r="I1339" s="121">
        <f t="shared" si="347"/>
        <v>0</v>
      </c>
      <c r="J1339" s="349" t="e">
        <f t="shared" si="348"/>
        <v>#DIV/0!</v>
      </c>
    </row>
    <row r="1340" spans="1:11" s="71" customFormat="1" ht="27" outlineLevel="1">
      <c r="A1340" s="63" t="s">
        <v>1703</v>
      </c>
      <c r="B1340" s="63">
        <v>97084</v>
      </c>
      <c r="C1340" s="63" t="s">
        <v>18</v>
      </c>
      <c r="D1340" s="65" t="s">
        <v>791</v>
      </c>
      <c r="E1340" s="68" t="s">
        <v>116</v>
      </c>
      <c r="F1340" s="64">
        <f>23.7*2.25</f>
        <v>53.324999999999996</v>
      </c>
      <c r="G1340" s="249"/>
      <c r="H1340" s="249">
        <f t="shared" si="346"/>
        <v>0</v>
      </c>
      <c r="I1340" s="84">
        <f t="shared" si="347"/>
        <v>0</v>
      </c>
      <c r="J1340" s="74" t="e">
        <f t="shared" si="348"/>
        <v>#DIV/0!</v>
      </c>
    </row>
    <row r="1341" spans="1:11" s="71" customFormat="1" ht="27" outlineLevel="1">
      <c r="A1341" s="63" t="s">
        <v>1704</v>
      </c>
      <c r="B1341" s="128">
        <v>96622</v>
      </c>
      <c r="C1341" s="128" t="s">
        <v>18</v>
      </c>
      <c r="D1341" s="82" t="s">
        <v>1895</v>
      </c>
      <c r="E1341" s="88" t="s">
        <v>218</v>
      </c>
      <c r="F1341" s="75">
        <f>F1340*0.05</f>
        <v>2.6662499999999998</v>
      </c>
      <c r="G1341" s="145"/>
      <c r="H1341" s="84">
        <f t="shared" si="346"/>
        <v>0</v>
      </c>
      <c r="I1341" s="84">
        <f t="shared" si="347"/>
        <v>0</v>
      </c>
      <c r="J1341" s="74" t="e">
        <f t="shared" si="348"/>
        <v>#DIV/0!</v>
      </c>
    </row>
    <row r="1342" spans="1:11" s="71" customFormat="1" ht="27" outlineLevel="1">
      <c r="A1342" s="63" t="s">
        <v>1705</v>
      </c>
      <c r="B1342" s="63">
        <v>94993</v>
      </c>
      <c r="C1342" s="63" t="s">
        <v>18</v>
      </c>
      <c r="D1342" s="65" t="s">
        <v>790</v>
      </c>
      <c r="E1342" s="68" t="s">
        <v>116</v>
      </c>
      <c r="F1342" s="64">
        <v>53.33</v>
      </c>
      <c r="G1342" s="252"/>
      <c r="H1342" s="249">
        <f t="shared" si="346"/>
        <v>0</v>
      </c>
      <c r="I1342" s="84">
        <f t="shared" si="347"/>
        <v>0</v>
      </c>
      <c r="J1342" s="74" t="e">
        <f t="shared" si="348"/>
        <v>#DIV/0!</v>
      </c>
    </row>
    <row r="1343" spans="1:11" s="71" customFormat="1" outlineLevel="1">
      <c r="A1343" s="63" t="s">
        <v>1706</v>
      </c>
      <c r="B1343" s="5" t="s">
        <v>129</v>
      </c>
      <c r="C1343" s="5" t="s">
        <v>7</v>
      </c>
      <c r="D1343" s="106" t="s">
        <v>130</v>
      </c>
      <c r="E1343" s="68" t="s">
        <v>116</v>
      </c>
      <c r="F1343" s="64">
        <f>F1342</f>
        <v>53.33</v>
      </c>
      <c r="G1343" s="252"/>
      <c r="H1343" s="249">
        <f t="shared" si="346"/>
        <v>0</v>
      </c>
      <c r="I1343" s="84">
        <f t="shared" si="347"/>
        <v>0</v>
      </c>
      <c r="J1343" s="74" t="e">
        <f t="shared" si="348"/>
        <v>#DIV/0!</v>
      </c>
    </row>
    <row r="1344" spans="1:11" s="71" customFormat="1" ht="27" outlineLevel="1">
      <c r="A1344" s="63" t="s">
        <v>1950</v>
      </c>
      <c r="B1344" s="5">
        <v>102491</v>
      </c>
      <c r="C1344" s="5" t="s">
        <v>18</v>
      </c>
      <c r="D1344" s="106" t="s">
        <v>788</v>
      </c>
      <c r="E1344" s="68" t="s">
        <v>116</v>
      </c>
      <c r="F1344" s="64">
        <f>F1343</f>
        <v>53.33</v>
      </c>
      <c r="G1344" s="249"/>
      <c r="H1344" s="249">
        <f t="shared" si="346"/>
        <v>0</v>
      </c>
      <c r="I1344" s="84">
        <f t="shared" si="347"/>
        <v>0</v>
      </c>
      <c r="J1344" s="74" t="e">
        <f t="shared" si="348"/>
        <v>#DIV/0!</v>
      </c>
    </row>
    <row r="1345" spans="1:10" s="71" customFormat="1">
      <c r="A1345" s="378" t="s">
        <v>1707</v>
      </c>
      <c r="B1345" s="390"/>
      <c r="C1345" s="390"/>
      <c r="D1345" s="390"/>
      <c r="E1345" s="390"/>
      <c r="F1345" s="390"/>
      <c r="G1345" s="390"/>
      <c r="H1345" s="390"/>
      <c r="I1345" s="215">
        <f>SUM(I1337:I1344)</f>
        <v>0</v>
      </c>
      <c r="J1345" s="216" t="e">
        <f>SUM(J1337:J1344)</f>
        <v>#DIV/0!</v>
      </c>
    </row>
    <row r="1346" spans="1:10" s="73" customFormat="1">
      <c r="A1346" s="197" t="s">
        <v>1708</v>
      </c>
      <c r="B1346" s="92"/>
      <c r="C1346" s="217"/>
      <c r="D1346" s="94" t="s">
        <v>258</v>
      </c>
      <c r="E1346" s="94"/>
      <c r="F1346" s="94"/>
      <c r="G1346" s="190"/>
      <c r="H1346" s="190"/>
      <c r="I1346" s="185"/>
      <c r="J1346" s="96"/>
    </row>
    <row r="1347" spans="1:10" s="71" customFormat="1" outlineLevel="1">
      <c r="A1347" s="63" t="s">
        <v>1709</v>
      </c>
      <c r="B1347" s="128" t="s">
        <v>259</v>
      </c>
      <c r="C1347" s="128" t="s">
        <v>9</v>
      </c>
      <c r="D1347" s="272" t="s">
        <v>260</v>
      </c>
      <c r="E1347" s="273" t="s">
        <v>116</v>
      </c>
      <c r="F1347" s="273">
        <f>(6.4*2)*0.3</f>
        <v>3.84</v>
      </c>
      <c r="G1347" s="84" t="s">
        <v>10</v>
      </c>
      <c r="H1347" s="84"/>
      <c r="I1347" s="275">
        <f>TRUNC((F1347*H1347),2)</f>
        <v>0</v>
      </c>
      <c r="J1347" s="74" t="e">
        <f t="shared" ref="J1347:J1352" si="349">I1347/$I$1421</f>
        <v>#DIV/0!</v>
      </c>
    </row>
    <row r="1348" spans="1:10" s="71" customFormat="1" outlineLevel="1">
      <c r="A1348" s="63" t="s">
        <v>1710</v>
      </c>
      <c r="B1348" s="63" t="s">
        <v>261</v>
      </c>
      <c r="C1348" s="63" t="s">
        <v>9</v>
      </c>
      <c r="D1348" s="254" t="s">
        <v>262</v>
      </c>
      <c r="E1348" s="255" t="s">
        <v>117</v>
      </c>
      <c r="F1348" s="255">
        <f>(6.45*0.2)+(3.55*1.6)</f>
        <v>6.97</v>
      </c>
      <c r="G1348" s="256" t="s">
        <v>10</v>
      </c>
      <c r="H1348" s="256"/>
      <c r="I1348" s="275">
        <f t="shared" ref="I1348:I1352" si="350">TRUNC((F1348*H1348),2)</f>
        <v>0</v>
      </c>
      <c r="J1348" s="74" t="e">
        <f t="shared" si="349"/>
        <v>#DIV/0!</v>
      </c>
    </row>
    <row r="1349" spans="1:10" s="71" customFormat="1" outlineLevel="1">
      <c r="A1349" s="63" t="s">
        <v>1711</v>
      </c>
      <c r="B1349" s="63">
        <v>92270</v>
      </c>
      <c r="C1349" s="63" t="s">
        <v>18</v>
      </c>
      <c r="D1349" s="254" t="s">
        <v>263</v>
      </c>
      <c r="E1349" s="255" t="s">
        <v>116</v>
      </c>
      <c r="F1349" s="255">
        <f>((6.4*4)*0.3)</f>
        <v>7.68</v>
      </c>
      <c r="G1349" s="256"/>
      <c r="H1349" s="249">
        <f t="shared" ref="H1349:H1351" si="351">TRUNC((G1349*(1+$I$12)),2)</f>
        <v>0</v>
      </c>
      <c r="I1349" s="275">
        <f t="shared" si="350"/>
        <v>0</v>
      </c>
      <c r="J1349" s="74" t="e">
        <f t="shared" si="349"/>
        <v>#DIV/0!</v>
      </c>
    </row>
    <row r="1350" spans="1:10" s="71" customFormat="1" ht="27" outlineLevel="1">
      <c r="A1350" s="63" t="s">
        <v>1712</v>
      </c>
      <c r="B1350" s="63">
        <v>92447</v>
      </c>
      <c r="C1350" s="63" t="s">
        <v>18</v>
      </c>
      <c r="D1350" s="254" t="s">
        <v>264</v>
      </c>
      <c r="E1350" s="255" t="s">
        <v>116</v>
      </c>
      <c r="F1350" s="255">
        <f>F1349/2</f>
        <v>3.84</v>
      </c>
      <c r="G1350" s="256"/>
      <c r="H1350" s="249">
        <f t="shared" si="351"/>
        <v>0</v>
      </c>
      <c r="I1350" s="275">
        <f t="shared" si="350"/>
        <v>0</v>
      </c>
      <c r="J1350" s="74" t="e">
        <f t="shared" si="349"/>
        <v>#DIV/0!</v>
      </c>
    </row>
    <row r="1351" spans="1:10" s="71" customFormat="1" outlineLevel="1">
      <c r="A1351" s="63" t="s">
        <v>1713</v>
      </c>
      <c r="B1351" s="63">
        <v>89995</v>
      </c>
      <c r="C1351" s="63" t="s">
        <v>18</v>
      </c>
      <c r="D1351" s="254" t="s">
        <v>265</v>
      </c>
      <c r="E1351" s="255" t="s">
        <v>218</v>
      </c>
      <c r="F1351" s="255">
        <f>(6.4*2)*0.3*0.3</f>
        <v>1.1519999999999999</v>
      </c>
      <c r="G1351" s="256"/>
      <c r="H1351" s="249">
        <f t="shared" si="351"/>
        <v>0</v>
      </c>
      <c r="I1351" s="275">
        <f t="shared" si="350"/>
        <v>0</v>
      </c>
      <c r="J1351" s="74" t="e">
        <f t="shared" si="349"/>
        <v>#DIV/0!</v>
      </c>
    </row>
    <row r="1352" spans="1:10" s="71" customFormat="1" outlineLevel="1">
      <c r="A1352" s="63" t="s">
        <v>1714</v>
      </c>
      <c r="B1352" s="63" t="s">
        <v>10</v>
      </c>
      <c r="C1352" s="63" t="e">
        <f>#REF!</f>
        <v>#REF!</v>
      </c>
      <c r="D1352" s="85" t="e">
        <f>#REF!</f>
        <v>#REF!</v>
      </c>
      <c r="E1352" s="86" t="s">
        <v>115</v>
      </c>
      <c r="F1352" s="80">
        <f>6.45+6.45</f>
        <v>12.9</v>
      </c>
      <c r="G1352" s="124"/>
      <c r="H1352" s="124">
        <f>TRUNC((G1352*(1+$I$12)),2)</f>
        <v>0</v>
      </c>
      <c r="I1352" s="275">
        <f t="shared" si="350"/>
        <v>0</v>
      </c>
      <c r="J1352" s="74" t="e">
        <f t="shared" si="349"/>
        <v>#DIV/0!</v>
      </c>
    </row>
    <row r="1353" spans="1:10" s="71" customFormat="1">
      <c r="A1353" s="378" t="s">
        <v>1715</v>
      </c>
      <c r="B1353" s="378"/>
      <c r="C1353" s="378"/>
      <c r="D1353" s="378"/>
      <c r="E1353" s="378"/>
      <c r="F1353" s="378"/>
      <c r="G1353" s="378"/>
      <c r="H1353" s="378"/>
      <c r="I1353" s="177">
        <f>SUM(I1347:I1352)</f>
        <v>0</v>
      </c>
      <c r="J1353" s="144" t="e">
        <f>SUM(J1347:J1352)</f>
        <v>#DIV/0!</v>
      </c>
    </row>
    <row r="1354" spans="1:10" s="72" customFormat="1">
      <c r="A1354" s="218" t="s">
        <v>1716</v>
      </c>
      <c r="B1354" s="92"/>
      <c r="C1354" s="217"/>
      <c r="D1354" s="89" t="s">
        <v>266</v>
      </c>
      <c r="E1354" s="90"/>
      <c r="F1354" s="90"/>
      <c r="G1354" s="189"/>
      <c r="H1354" s="189"/>
      <c r="I1354" s="184"/>
      <c r="J1354" s="91"/>
    </row>
    <row r="1355" spans="1:10" s="71" customFormat="1" ht="27" outlineLevel="1">
      <c r="A1355" s="63" t="s">
        <v>1717</v>
      </c>
      <c r="B1355" s="63">
        <v>101173</v>
      </c>
      <c r="C1355" s="63" t="s">
        <v>18</v>
      </c>
      <c r="D1355" s="82" t="s">
        <v>26</v>
      </c>
      <c r="E1355" s="83" t="s">
        <v>115</v>
      </c>
      <c r="F1355" s="307">
        <f>6*3</f>
        <v>18</v>
      </c>
      <c r="G1355" s="84"/>
      <c r="H1355" s="84">
        <f>TRUNC((G1355*(1+$I$12)),2)</f>
        <v>0</v>
      </c>
      <c r="I1355" s="275">
        <f>TRUNC((F1355*H1355),2)</f>
        <v>0</v>
      </c>
      <c r="J1355" s="74" t="e">
        <f t="shared" ref="J1355:J1365" si="352">I1355/$I$1421</f>
        <v>#DIV/0!</v>
      </c>
    </row>
    <row r="1356" spans="1:10" s="71" customFormat="1" ht="27" outlineLevel="1">
      <c r="A1356" s="63" t="s">
        <v>1718</v>
      </c>
      <c r="B1356" s="63">
        <v>96527</v>
      </c>
      <c r="C1356" s="63" t="s">
        <v>18</v>
      </c>
      <c r="D1356" s="65" t="s">
        <v>957</v>
      </c>
      <c r="E1356" s="66" t="s">
        <v>218</v>
      </c>
      <c r="F1356" s="258">
        <f>(6.45*0.3*0.3)</f>
        <v>0.58050000000000002</v>
      </c>
      <c r="G1356" s="249"/>
      <c r="H1356" s="249">
        <f>TRUNC((G1356*(1+$I$12)),2)</f>
        <v>0</v>
      </c>
      <c r="I1356" s="275">
        <f t="shared" ref="I1356:I1365" si="353">TRUNC((F1356*H1356),2)</f>
        <v>0</v>
      </c>
      <c r="J1356" s="74" t="e">
        <f t="shared" si="352"/>
        <v>#DIV/0!</v>
      </c>
    </row>
    <row r="1357" spans="1:10" s="71" customFormat="1" ht="27" outlineLevel="1">
      <c r="A1357" s="63" t="s">
        <v>1719</v>
      </c>
      <c r="B1357" s="63">
        <v>96531</v>
      </c>
      <c r="C1357" s="63" t="s">
        <v>18</v>
      </c>
      <c r="D1357" s="65" t="s">
        <v>1433</v>
      </c>
      <c r="E1357" s="66" t="s">
        <v>116</v>
      </c>
      <c r="F1357" s="258">
        <f>(6.45*0.3)/2</f>
        <v>0.96750000000000003</v>
      </c>
      <c r="G1357" s="249"/>
      <c r="H1357" s="249">
        <f t="shared" ref="H1357:H1365" si="354">TRUNC((G1357*(1+$I$12)),2)</f>
        <v>0</v>
      </c>
      <c r="I1357" s="275">
        <f t="shared" si="353"/>
        <v>0</v>
      </c>
      <c r="J1357" s="74" t="e">
        <f t="shared" si="352"/>
        <v>#DIV/0!</v>
      </c>
    </row>
    <row r="1358" spans="1:10" s="71" customFormat="1" ht="27" outlineLevel="1">
      <c r="A1358" s="63" t="s">
        <v>1720</v>
      </c>
      <c r="B1358" s="63">
        <v>96545</v>
      </c>
      <c r="C1358" s="63" t="s">
        <v>18</v>
      </c>
      <c r="D1358" s="65" t="s">
        <v>267</v>
      </c>
      <c r="E1358" s="66" t="s">
        <v>117</v>
      </c>
      <c r="F1358" s="64">
        <f>80*F1360</f>
        <v>46.44</v>
      </c>
      <c r="G1358" s="249"/>
      <c r="H1358" s="249">
        <f t="shared" si="354"/>
        <v>0</v>
      </c>
      <c r="I1358" s="275">
        <f t="shared" si="353"/>
        <v>0</v>
      </c>
      <c r="J1358" s="74" t="e">
        <f t="shared" si="352"/>
        <v>#DIV/0!</v>
      </c>
    </row>
    <row r="1359" spans="1:10" s="71" customFormat="1" outlineLevel="1">
      <c r="A1359" s="63" t="s">
        <v>1721</v>
      </c>
      <c r="B1359" s="63">
        <v>92800</v>
      </c>
      <c r="C1359" s="63" t="s">
        <v>18</v>
      </c>
      <c r="D1359" s="65" t="s">
        <v>268</v>
      </c>
      <c r="E1359" s="66" t="s">
        <v>117</v>
      </c>
      <c r="F1359" s="64">
        <f>F1358</f>
        <v>46.44</v>
      </c>
      <c r="G1359" s="249"/>
      <c r="H1359" s="249">
        <f t="shared" si="354"/>
        <v>0</v>
      </c>
      <c r="I1359" s="275">
        <f t="shared" si="353"/>
        <v>0</v>
      </c>
      <c r="J1359" s="74" t="e">
        <f t="shared" si="352"/>
        <v>#DIV/0!</v>
      </c>
    </row>
    <row r="1360" spans="1:10" s="71" customFormat="1" ht="27" outlineLevel="1">
      <c r="A1360" s="63" t="s">
        <v>1722</v>
      </c>
      <c r="B1360" s="63">
        <v>94971</v>
      </c>
      <c r="C1360" s="63" t="s">
        <v>18</v>
      </c>
      <c r="D1360" s="65" t="s">
        <v>269</v>
      </c>
      <c r="E1360" s="66" t="s">
        <v>218</v>
      </c>
      <c r="F1360" s="258">
        <f>F1356</f>
        <v>0.58050000000000002</v>
      </c>
      <c r="G1360" s="249"/>
      <c r="H1360" s="249">
        <f t="shared" si="354"/>
        <v>0</v>
      </c>
      <c r="I1360" s="275">
        <f t="shared" si="353"/>
        <v>0</v>
      </c>
      <c r="J1360" s="74" t="e">
        <f t="shared" si="352"/>
        <v>#DIV/0!</v>
      </c>
    </row>
    <row r="1361" spans="1:11" s="71" customFormat="1" ht="27" outlineLevel="1">
      <c r="A1361" s="63" t="s">
        <v>1723</v>
      </c>
      <c r="B1361" s="63">
        <v>104489</v>
      </c>
      <c r="C1361" s="63" t="s">
        <v>18</v>
      </c>
      <c r="D1361" s="65" t="s">
        <v>270</v>
      </c>
      <c r="E1361" s="66" t="s">
        <v>218</v>
      </c>
      <c r="F1361" s="258">
        <f>(1.2*6.1*0.15)</f>
        <v>1.0979999999999999</v>
      </c>
      <c r="G1361" s="249"/>
      <c r="H1361" s="249">
        <f t="shared" si="354"/>
        <v>0</v>
      </c>
      <c r="I1361" s="275">
        <f t="shared" si="353"/>
        <v>0</v>
      </c>
      <c r="J1361" s="74" t="e">
        <f t="shared" si="352"/>
        <v>#DIV/0!</v>
      </c>
    </row>
    <row r="1362" spans="1:11" s="71" customFormat="1" ht="40.5" outlineLevel="1">
      <c r="A1362" s="63" t="s">
        <v>1724</v>
      </c>
      <c r="B1362" s="255">
        <v>99837</v>
      </c>
      <c r="C1362" s="255" t="s">
        <v>18</v>
      </c>
      <c r="D1362" s="65" t="s">
        <v>271</v>
      </c>
      <c r="E1362" s="66" t="s">
        <v>115</v>
      </c>
      <c r="F1362" s="64">
        <f>6.45+6.45</f>
        <v>12.9</v>
      </c>
      <c r="G1362" s="249"/>
      <c r="H1362" s="249">
        <f t="shared" si="354"/>
        <v>0</v>
      </c>
      <c r="I1362" s="275">
        <f t="shared" si="353"/>
        <v>0</v>
      </c>
      <c r="J1362" s="74" t="e">
        <f t="shared" si="352"/>
        <v>#DIV/0!</v>
      </c>
    </row>
    <row r="1363" spans="1:11" s="71" customFormat="1" ht="27" outlineLevel="1">
      <c r="A1363" s="63" t="s">
        <v>1725</v>
      </c>
      <c r="B1363" s="255">
        <v>100719</v>
      </c>
      <c r="C1363" s="255" t="s">
        <v>18</v>
      </c>
      <c r="D1363" s="65" t="s">
        <v>272</v>
      </c>
      <c r="E1363" s="66" t="s">
        <v>116</v>
      </c>
      <c r="F1363" s="64">
        <f>F1362*1.1</f>
        <v>14.190000000000001</v>
      </c>
      <c r="G1363" s="249"/>
      <c r="H1363" s="249">
        <f t="shared" si="354"/>
        <v>0</v>
      </c>
      <c r="I1363" s="275">
        <f t="shared" si="353"/>
        <v>0</v>
      </c>
      <c r="J1363" s="74" t="e">
        <f t="shared" si="352"/>
        <v>#DIV/0!</v>
      </c>
    </row>
    <row r="1364" spans="1:11" s="71" customFormat="1" outlineLevel="1">
      <c r="A1364" s="63" t="s">
        <v>1726</v>
      </c>
      <c r="B1364" s="63" t="s">
        <v>10</v>
      </c>
      <c r="C1364" s="63" t="e">
        <f>#REF!</f>
        <v>#REF!</v>
      </c>
      <c r="D1364" s="85" t="e">
        <f>#REF!</f>
        <v>#REF!</v>
      </c>
      <c r="E1364" s="86" t="s">
        <v>115</v>
      </c>
      <c r="F1364" s="80">
        <f>6.45+6.45</f>
        <v>12.9</v>
      </c>
      <c r="G1364" s="124"/>
      <c r="H1364" s="124">
        <f t="shared" si="354"/>
        <v>0</v>
      </c>
      <c r="I1364" s="275">
        <f t="shared" si="353"/>
        <v>0</v>
      </c>
      <c r="J1364" s="74" t="e">
        <f t="shared" si="352"/>
        <v>#DIV/0!</v>
      </c>
    </row>
    <row r="1365" spans="1:11" s="71" customFormat="1" ht="27" outlineLevel="1">
      <c r="A1365" s="63" t="s">
        <v>1727</v>
      </c>
      <c r="B1365" s="5">
        <v>102491</v>
      </c>
      <c r="C1365" s="5" t="s">
        <v>18</v>
      </c>
      <c r="D1365" s="106" t="s">
        <v>788</v>
      </c>
      <c r="E1365" s="68" t="s">
        <v>116</v>
      </c>
      <c r="F1365" s="64">
        <f>1.2*6.1</f>
        <v>7.3199999999999994</v>
      </c>
      <c r="G1365" s="249"/>
      <c r="H1365" s="249">
        <f t="shared" si="354"/>
        <v>0</v>
      </c>
      <c r="I1365" s="275">
        <f t="shared" si="353"/>
        <v>0</v>
      </c>
      <c r="J1365" s="74" t="e">
        <f t="shared" si="352"/>
        <v>#DIV/0!</v>
      </c>
    </row>
    <row r="1366" spans="1:11" s="157" customFormat="1">
      <c r="A1366" s="378" t="s">
        <v>1728</v>
      </c>
      <c r="B1366" s="378"/>
      <c r="C1366" s="378"/>
      <c r="D1366" s="378"/>
      <c r="E1366" s="378"/>
      <c r="F1366" s="378"/>
      <c r="G1366" s="378"/>
      <c r="H1366" s="378"/>
      <c r="I1366" s="177">
        <f>SUM(I1355:I1365)</f>
        <v>0</v>
      </c>
      <c r="J1366" s="144" t="e">
        <f>SUM(J1355:J1365)</f>
        <v>#DIV/0!</v>
      </c>
    </row>
    <row r="1367" spans="1:11" s="72" customFormat="1" ht="15" customHeight="1">
      <c r="A1367" s="61" t="s">
        <v>1729</v>
      </c>
      <c r="B1367" s="92"/>
      <c r="C1367" s="217"/>
      <c r="D1367" s="93" t="s">
        <v>273</v>
      </c>
      <c r="E1367" s="94"/>
      <c r="F1367" s="95"/>
      <c r="G1367" s="190"/>
      <c r="H1367" s="190"/>
      <c r="I1367" s="185"/>
      <c r="J1367" s="96"/>
    </row>
    <row r="1368" spans="1:11" s="71" customFormat="1" outlineLevel="1">
      <c r="A1368" s="63" t="s">
        <v>1730</v>
      </c>
      <c r="B1368" s="63" t="s">
        <v>261</v>
      </c>
      <c r="C1368" s="63" t="s">
        <v>9</v>
      </c>
      <c r="D1368" s="272" t="s">
        <v>262</v>
      </c>
      <c r="E1368" s="273" t="s">
        <v>117</v>
      </c>
      <c r="F1368" s="273">
        <f>(3.15*0.2)+(18.25*0.2)</f>
        <v>4.28</v>
      </c>
      <c r="G1368" s="274" t="s">
        <v>10</v>
      </c>
      <c r="H1368" s="274"/>
      <c r="I1368" s="275">
        <f>TRUNC((F1368*H1368),2)</f>
        <v>0</v>
      </c>
      <c r="J1368" s="74" t="e">
        <f t="shared" ref="J1368:J1374" si="355">I1368/$I$1421</f>
        <v>#DIV/0!</v>
      </c>
    </row>
    <row r="1369" spans="1:11" s="71" customFormat="1" ht="27" outlineLevel="1">
      <c r="A1369" s="63" t="s">
        <v>1731</v>
      </c>
      <c r="B1369" s="63">
        <v>103329</v>
      </c>
      <c r="C1369" s="63" t="s">
        <v>18</v>
      </c>
      <c r="D1369" s="254" t="s">
        <v>274</v>
      </c>
      <c r="E1369" s="255" t="s">
        <v>116</v>
      </c>
      <c r="F1369" s="258">
        <f>((42.3+18.08)*0.3)-((0.15*0.3)*15)</f>
        <v>17.438999999999997</v>
      </c>
      <c r="G1369" s="256"/>
      <c r="H1369" s="249">
        <f t="shared" ref="H1369:H1371" si="356">TRUNC((G1369*(1+$I$12)),2)</f>
        <v>0</v>
      </c>
      <c r="I1369" s="275">
        <f t="shared" ref="I1369:I1374" si="357">TRUNC((F1369*H1369),2)</f>
        <v>0</v>
      </c>
      <c r="J1369" s="74" t="e">
        <f t="shared" si="355"/>
        <v>#DIV/0!</v>
      </c>
      <c r="K1369" s="259"/>
    </row>
    <row r="1370" spans="1:11" s="71" customFormat="1" ht="27" outlineLevel="1">
      <c r="A1370" s="63" t="s">
        <v>1732</v>
      </c>
      <c r="B1370" s="63">
        <v>87879</v>
      </c>
      <c r="C1370" s="63" t="s">
        <v>18</v>
      </c>
      <c r="D1370" s="254" t="s">
        <v>275</v>
      </c>
      <c r="E1370" s="255" t="s">
        <v>116</v>
      </c>
      <c r="F1370" s="258">
        <f>F1369*2</f>
        <v>34.877999999999993</v>
      </c>
      <c r="G1370" s="256"/>
      <c r="H1370" s="249">
        <f t="shared" si="356"/>
        <v>0</v>
      </c>
      <c r="I1370" s="275">
        <f t="shared" si="357"/>
        <v>0</v>
      </c>
      <c r="J1370" s="74" t="e">
        <f t="shared" si="355"/>
        <v>#DIV/0!</v>
      </c>
    </row>
    <row r="1371" spans="1:11" s="71" customFormat="1" ht="40.5" outlineLevel="1">
      <c r="A1371" s="63" t="s">
        <v>1733</v>
      </c>
      <c r="B1371" s="63">
        <v>90406</v>
      </c>
      <c r="C1371" s="63" t="s">
        <v>18</v>
      </c>
      <c r="D1371" s="254" t="s">
        <v>276</v>
      </c>
      <c r="E1371" s="255" t="s">
        <v>116</v>
      </c>
      <c r="F1371" s="258">
        <f>F1370</f>
        <v>34.877999999999993</v>
      </c>
      <c r="G1371" s="256"/>
      <c r="H1371" s="249">
        <f t="shared" si="356"/>
        <v>0</v>
      </c>
      <c r="I1371" s="275">
        <f t="shared" si="357"/>
        <v>0</v>
      </c>
      <c r="J1371" s="74" t="e">
        <f t="shared" si="355"/>
        <v>#DIV/0!</v>
      </c>
    </row>
    <row r="1372" spans="1:11" s="71" customFormat="1" outlineLevel="1">
      <c r="A1372" s="63" t="s">
        <v>1734</v>
      </c>
      <c r="B1372" s="63" t="s">
        <v>10</v>
      </c>
      <c r="C1372" s="63" t="e">
        <f>#REF!</f>
        <v>#REF!</v>
      </c>
      <c r="D1372" s="257" t="e">
        <f>#REF!</f>
        <v>#REF!</v>
      </c>
      <c r="E1372" s="261" t="s">
        <v>115</v>
      </c>
      <c r="F1372" s="341">
        <f>42.25+42.55</f>
        <v>84.8</v>
      </c>
      <c r="G1372" s="124"/>
      <c r="H1372" s="124">
        <f>TRUNC((G1372*(1+$I$12)),2)</f>
        <v>0</v>
      </c>
      <c r="I1372" s="275">
        <f t="shared" si="357"/>
        <v>0</v>
      </c>
      <c r="J1372" s="74" t="e">
        <f t="shared" si="355"/>
        <v>#DIV/0!</v>
      </c>
    </row>
    <row r="1373" spans="1:11" s="100" customFormat="1" ht="15.95" customHeight="1" outlineLevel="1">
      <c r="A1373" s="63" t="s">
        <v>1735</v>
      </c>
      <c r="B1373" s="63">
        <v>88495</v>
      </c>
      <c r="C1373" s="63" t="s">
        <v>18</v>
      </c>
      <c r="D1373" s="65" t="s">
        <v>393</v>
      </c>
      <c r="E1373" s="66" t="s">
        <v>116</v>
      </c>
      <c r="F1373" s="64">
        <f>109.12*1.2</f>
        <v>130.94399999999999</v>
      </c>
      <c r="G1373" s="137"/>
      <c r="H1373" s="117">
        <f t="shared" ref="H1373:H1374" si="358">TRUNC((G1373*(1+$I$12)),2)</f>
        <v>0</v>
      </c>
      <c r="I1373" s="275">
        <f t="shared" si="357"/>
        <v>0</v>
      </c>
      <c r="J1373" s="74" t="e">
        <f t="shared" si="355"/>
        <v>#DIV/0!</v>
      </c>
    </row>
    <row r="1374" spans="1:11" s="100" customFormat="1" outlineLevel="1">
      <c r="A1374" s="63" t="s">
        <v>1736</v>
      </c>
      <c r="B1374" s="63">
        <v>88489</v>
      </c>
      <c r="C1374" s="63" t="s">
        <v>18</v>
      </c>
      <c r="D1374" s="65" t="s">
        <v>36</v>
      </c>
      <c r="E1374" s="66" t="s">
        <v>116</v>
      </c>
      <c r="F1374" s="64">
        <f>F1373</f>
        <v>130.94399999999999</v>
      </c>
      <c r="G1374" s="137"/>
      <c r="H1374" s="117">
        <f t="shared" si="358"/>
        <v>0</v>
      </c>
      <c r="I1374" s="275">
        <f t="shared" si="357"/>
        <v>0</v>
      </c>
      <c r="J1374" s="74" t="e">
        <f t="shared" si="355"/>
        <v>#DIV/0!</v>
      </c>
    </row>
    <row r="1375" spans="1:11" s="157" customFormat="1">
      <c r="A1375" s="378" t="s">
        <v>1737</v>
      </c>
      <c r="B1375" s="378"/>
      <c r="C1375" s="378"/>
      <c r="D1375" s="378"/>
      <c r="E1375" s="378"/>
      <c r="F1375" s="378"/>
      <c r="G1375" s="378"/>
      <c r="H1375" s="378"/>
      <c r="I1375" s="177">
        <f>SUM(I1368:I1374)</f>
        <v>0</v>
      </c>
      <c r="J1375" s="144" t="e">
        <f>SUM(J1368:J1374)</f>
        <v>#DIV/0!</v>
      </c>
    </row>
    <row r="1376" spans="1:11" s="72" customFormat="1">
      <c r="A1376" s="61" t="s">
        <v>1738</v>
      </c>
      <c r="B1376" s="92"/>
      <c r="C1376" s="217"/>
      <c r="D1376" s="93" t="s">
        <v>277</v>
      </c>
      <c r="E1376" s="94"/>
      <c r="F1376" s="95"/>
      <c r="G1376" s="190"/>
      <c r="H1376" s="190"/>
      <c r="I1376" s="185"/>
      <c r="J1376" s="96"/>
    </row>
    <row r="1377" spans="1:11" s="71" customFormat="1" ht="27" outlineLevel="1">
      <c r="A1377" s="63" t="s">
        <v>1739</v>
      </c>
      <c r="B1377" s="63">
        <v>103329</v>
      </c>
      <c r="C1377" s="63" t="s">
        <v>18</v>
      </c>
      <c r="D1377" s="272" t="s">
        <v>274</v>
      </c>
      <c r="E1377" s="273" t="s">
        <v>116</v>
      </c>
      <c r="F1377" s="307">
        <f>((19.4+15.35+25.2)*0.3)</f>
        <v>17.984999999999999</v>
      </c>
      <c r="G1377" s="274"/>
      <c r="H1377" s="84">
        <f t="shared" ref="H1377:H1382" si="359">TRUNC((G1377*(1+$I$12)),2)</f>
        <v>0</v>
      </c>
      <c r="I1377" s="275">
        <f>TRUNC((F1377*H1377),2)</f>
        <v>0</v>
      </c>
      <c r="J1377" s="74" t="e">
        <f t="shared" ref="J1377:J1382" si="360">I1377/$I$1421</f>
        <v>#DIV/0!</v>
      </c>
      <c r="K1377" s="259"/>
    </row>
    <row r="1378" spans="1:11" s="71" customFormat="1" ht="27" outlineLevel="1">
      <c r="A1378" s="63" t="s">
        <v>1740</v>
      </c>
      <c r="B1378" s="63">
        <v>87879</v>
      </c>
      <c r="C1378" s="63" t="s">
        <v>18</v>
      </c>
      <c r="D1378" s="254" t="s">
        <v>275</v>
      </c>
      <c r="E1378" s="255" t="s">
        <v>116</v>
      </c>
      <c r="F1378" s="258">
        <f>F1377*2</f>
        <v>35.97</v>
      </c>
      <c r="G1378" s="256"/>
      <c r="H1378" s="249">
        <f t="shared" si="359"/>
        <v>0</v>
      </c>
      <c r="I1378" s="275">
        <f t="shared" ref="I1378:I1382" si="361">TRUNC((F1378*H1378),2)</f>
        <v>0</v>
      </c>
      <c r="J1378" s="74" t="e">
        <f t="shared" si="360"/>
        <v>#DIV/0!</v>
      </c>
    </row>
    <row r="1379" spans="1:11" s="71" customFormat="1" ht="40.5" outlineLevel="1">
      <c r="A1379" s="63" t="s">
        <v>1741</v>
      </c>
      <c r="B1379" s="63">
        <v>90406</v>
      </c>
      <c r="C1379" s="63" t="s">
        <v>18</v>
      </c>
      <c r="D1379" s="254" t="s">
        <v>276</v>
      </c>
      <c r="E1379" s="255" t="s">
        <v>116</v>
      </c>
      <c r="F1379" s="258">
        <f>F1378</f>
        <v>35.97</v>
      </c>
      <c r="G1379" s="256"/>
      <c r="H1379" s="249">
        <f t="shared" si="359"/>
        <v>0</v>
      </c>
      <c r="I1379" s="275">
        <f t="shared" si="361"/>
        <v>0</v>
      </c>
      <c r="J1379" s="74" t="e">
        <f t="shared" si="360"/>
        <v>#DIV/0!</v>
      </c>
    </row>
    <row r="1380" spans="1:11" s="71" customFormat="1" outlineLevel="1">
      <c r="A1380" s="63" t="s">
        <v>1742</v>
      </c>
      <c r="B1380" s="63" t="s">
        <v>10</v>
      </c>
      <c r="C1380" s="63" t="e">
        <f>#REF!</f>
        <v>#REF!</v>
      </c>
      <c r="D1380" s="257" t="e">
        <f>#REF!</f>
        <v>#REF!</v>
      </c>
      <c r="E1380" s="261" t="s">
        <v>115</v>
      </c>
      <c r="F1380" s="341">
        <f>19.4+34+14.25</f>
        <v>67.650000000000006</v>
      </c>
      <c r="G1380" s="124"/>
      <c r="H1380" s="124">
        <f t="shared" si="359"/>
        <v>0</v>
      </c>
      <c r="I1380" s="275">
        <f t="shared" si="361"/>
        <v>0</v>
      </c>
      <c r="J1380" s="74" t="e">
        <f t="shared" si="360"/>
        <v>#DIV/0!</v>
      </c>
    </row>
    <row r="1381" spans="1:11" s="100" customFormat="1" ht="15.95" customHeight="1" outlineLevel="1">
      <c r="A1381" s="63" t="s">
        <v>1878</v>
      </c>
      <c r="B1381" s="63">
        <v>88495</v>
      </c>
      <c r="C1381" s="63" t="s">
        <v>18</v>
      </c>
      <c r="D1381" s="65" t="s">
        <v>393</v>
      </c>
      <c r="E1381" s="66" t="s">
        <v>116</v>
      </c>
      <c r="F1381" s="64">
        <f>(35.29+33.34+13.37+11.61+25.52+25.52)*1.2</f>
        <v>173.58</v>
      </c>
      <c r="G1381" s="137"/>
      <c r="H1381" s="117">
        <f t="shared" si="359"/>
        <v>0</v>
      </c>
      <c r="I1381" s="275">
        <f t="shared" si="361"/>
        <v>0</v>
      </c>
      <c r="J1381" s="74" t="e">
        <f t="shared" si="360"/>
        <v>#DIV/0!</v>
      </c>
    </row>
    <row r="1382" spans="1:11" s="100" customFormat="1" outlineLevel="1">
      <c r="A1382" s="63" t="s">
        <v>1879</v>
      </c>
      <c r="B1382" s="63">
        <v>88489</v>
      </c>
      <c r="C1382" s="63" t="s">
        <v>18</v>
      </c>
      <c r="D1382" s="65" t="s">
        <v>36</v>
      </c>
      <c r="E1382" s="66" t="s">
        <v>116</v>
      </c>
      <c r="F1382" s="64">
        <f>F1381</f>
        <v>173.58</v>
      </c>
      <c r="G1382" s="137"/>
      <c r="H1382" s="117">
        <f t="shared" si="359"/>
        <v>0</v>
      </c>
      <c r="I1382" s="275">
        <f t="shared" si="361"/>
        <v>0</v>
      </c>
      <c r="J1382" s="74" t="e">
        <f t="shared" si="360"/>
        <v>#DIV/0!</v>
      </c>
    </row>
    <row r="1383" spans="1:11" s="157" customFormat="1">
      <c r="A1383" s="378" t="s">
        <v>1743</v>
      </c>
      <c r="B1383" s="378"/>
      <c r="C1383" s="378"/>
      <c r="D1383" s="378"/>
      <c r="E1383" s="378"/>
      <c r="F1383" s="378"/>
      <c r="G1383" s="378"/>
      <c r="H1383" s="378"/>
      <c r="I1383" s="177">
        <f>SUM(I1377:I1382)</f>
        <v>0</v>
      </c>
      <c r="J1383" s="144" t="e">
        <f>SUM(J1377:J1382)</f>
        <v>#DIV/0!</v>
      </c>
    </row>
    <row r="1384" spans="1:11" s="72" customFormat="1">
      <c r="A1384" s="61" t="s">
        <v>1744</v>
      </c>
      <c r="B1384" s="92"/>
      <c r="C1384" s="217"/>
      <c r="D1384" s="93" t="s">
        <v>278</v>
      </c>
      <c r="E1384" s="94"/>
      <c r="F1384" s="95"/>
      <c r="G1384" s="190"/>
      <c r="H1384" s="190"/>
      <c r="I1384" s="185"/>
      <c r="J1384" s="96"/>
    </row>
    <row r="1385" spans="1:11" s="71" customFormat="1" ht="27" outlineLevel="1">
      <c r="A1385" s="63" t="s">
        <v>1745</v>
      </c>
      <c r="B1385" s="63">
        <v>97622</v>
      </c>
      <c r="C1385" s="63" t="s">
        <v>18</v>
      </c>
      <c r="D1385" s="82" t="s">
        <v>24</v>
      </c>
      <c r="E1385" s="83" t="s">
        <v>218</v>
      </c>
      <c r="F1385" s="307">
        <f>((15.6+24.45)*0.09*0.3)</f>
        <v>1.0813499999999998</v>
      </c>
      <c r="G1385" s="84"/>
      <c r="H1385" s="84">
        <f>TRUNC((G1385*(1+$I$12)),2)</f>
        <v>0</v>
      </c>
      <c r="I1385" s="275">
        <f>TRUNC((F1385*H1385),2)</f>
        <v>0</v>
      </c>
      <c r="J1385" s="74" t="e">
        <f>I1385/$I$1421</f>
        <v>#DIV/0!</v>
      </c>
    </row>
    <row r="1386" spans="1:11" s="157" customFormat="1" ht="40.5" outlineLevel="1">
      <c r="A1386" s="63" t="s">
        <v>1746</v>
      </c>
      <c r="B1386" s="63">
        <v>100983</v>
      </c>
      <c r="C1386" s="63" t="s">
        <v>18</v>
      </c>
      <c r="D1386" s="65" t="s">
        <v>1896</v>
      </c>
      <c r="E1386" s="66" t="s">
        <v>218</v>
      </c>
      <c r="F1386" s="64">
        <f>F1385*1.3</f>
        <v>1.4057549999999999</v>
      </c>
      <c r="G1386" s="350"/>
      <c r="H1386" s="350">
        <f t="shared" ref="H1386:H1387" si="362">TRUNC((G1386*(1+$I$12)),2)</f>
        <v>0</v>
      </c>
      <c r="I1386" s="121">
        <f t="shared" ref="I1386:I1387" si="363">ROUND((F1386*H1386),2)</f>
        <v>0</v>
      </c>
      <c r="J1386" s="349" t="e">
        <f>(I1386/$I$1421)</f>
        <v>#DIV/0!</v>
      </c>
    </row>
    <row r="1387" spans="1:11" s="157" customFormat="1" ht="27" outlineLevel="1">
      <c r="A1387" s="63" t="s">
        <v>1951</v>
      </c>
      <c r="B1387" s="63">
        <v>95875</v>
      </c>
      <c r="C1387" s="63" t="s">
        <v>18</v>
      </c>
      <c r="D1387" s="65" t="s">
        <v>1898</v>
      </c>
      <c r="E1387" s="66" t="s">
        <v>1897</v>
      </c>
      <c r="F1387" s="64">
        <f>F1386*4</f>
        <v>5.6230199999999995</v>
      </c>
      <c r="G1387" s="350"/>
      <c r="H1387" s="350">
        <f t="shared" si="362"/>
        <v>0</v>
      </c>
      <c r="I1387" s="121">
        <f t="shared" si="363"/>
        <v>0</v>
      </c>
      <c r="J1387" s="349" t="e">
        <f>(I1387/$I$1421)</f>
        <v>#DIV/0!</v>
      </c>
    </row>
    <row r="1388" spans="1:11" s="71" customFormat="1" ht="40.5" outlineLevel="1">
      <c r="A1388" s="63" t="s">
        <v>1952</v>
      </c>
      <c r="B1388" s="255">
        <v>99837</v>
      </c>
      <c r="C1388" s="255" t="s">
        <v>18</v>
      </c>
      <c r="D1388" s="85" t="s">
        <v>271</v>
      </c>
      <c r="E1388" s="86" t="s">
        <v>115</v>
      </c>
      <c r="F1388" s="80">
        <f>15.6+24.45</f>
        <v>40.049999999999997</v>
      </c>
      <c r="G1388" s="124"/>
      <c r="H1388" s="124">
        <f t="shared" ref="H1388" si="364">TRUNC((G1388*(1+$I$12)),2)</f>
        <v>0</v>
      </c>
      <c r="I1388" s="275">
        <f t="shared" ref="I1388" si="365">TRUNC((F1388*H1388),2)</f>
        <v>0</v>
      </c>
      <c r="J1388" s="74" t="e">
        <f>I1388/$I$1421</f>
        <v>#DIV/0!</v>
      </c>
    </row>
    <row r="1389" spans="1:11" s="157" customFormat="1">
      <c r="A1389" s="378" t="s">
        <v>1747</v>
      </c>
      <c r="B1389" s="378"/>
      <c r="C1389" s="378"/>
      <c r="D1389" s="378"/>
      <c r="E1389" s="378"/>
      <c r="F1389" s="378"/>
      <c r="G1389" s="378"/>
      <c r="H1389" s="378"/>
      <c r="I1389" s="177">
        <f>SUM(I1385:I1388)</f>
        <v>0</v>
      </c>
      <c r="J1389" s="144" t="e">
        <f>SUM(J1385:J1388)</f>
        <v>#DIV/0!</v>
      </c>
    </row>
    <row r="1390" spans="1:11" s="157" customFormat="1">
      <c r="A1390" s="378" t="s">
        <v>1748</v>
      </c>
      <c r="B1390" s="378"/>
      <c r="C1390" s="378"/>
      <c r="D1390" s="378"/>
      <c r="E1390" s="378"/>
      <c r="F1390" s="378"/>
      <c r="G1390" s="378"/>
      <c r="H1390" s="378"/>
      <c r="I1390" s="177">
        <f>I1345+I1353+I1366+I1375+I1383+I1389</f>
        <v>0</v>
      </c>
      <c r="J1390" s="144" t="e">
        <f>J1345+J1353+J1366+J1375+J1383+J1389</f>
        <v>#DIV/0!</v>
      </c>
      <c r="K1390" s="318" t="e">
        <f>I1390/$I$1401</f>
        <v>#DIV/0!</v>
      </c>
    </row>
    <row r="1391" spans="1:11" s="191" customFormat="1" ht="15.75" customHeight="1">
      <c r="A1391" s="70" t="s">
        <v>1749</v>
      </c>
      <c r="B1391" s="60"/>
      <c r="C1391" s="60"/>
      <c r="D1391" s="77" t="s">
        <v>92</v>
      </c>
      <c r="E1391" s="78"/>
      <c r="F1391" s="78"/>
      <c r="G1391" s="181"/>
      <c r="H1391" s="181"/>
      <c r="I1391" s="181"/>
      <c r="J1391" s="79"/>
    </row>
    <row r="1392" spans="1:11" s="100" customFormat="1" ht="15.75" customHeight="1" outlineLevel="1">
      <c r="A1392" s="63" t="s">
        <v>1750</v>
      </c>
      <c r="B1392" s="63" t="s">
        <v>10</v>
      </c>
      <c r="C1392" s="63" t="s">
        <v>219</v>
      </c>
      <c r="D1392" s="82" t="s">
        <v>279</v>
      </c>
      <c r="E1392" s="83" t="s">
        <v>221</v>
      </c>
      <c r="F1392" s="75">
        <v>1</v>
      </c>
      <c r="G1392" s="84"/>
      <c r="H1392" s="84">
        <f t="shared" ref="H1392:H1399" si="366">TRUNC((G1392*(1+$I$12)),2)</f>
        <v>0</v>
      </c>
      <c r="I1392" s="275">
        <f t="shared" ref="I1392:I1399" si="367">TRUNC((F1392*H1392),2)</f>
        <v>0</v>
      </c>
      <c r="J1392" s="74" t="e">
        <f t="shared" ref="J1392:J1399" si="368">I1392/$I$1421</f>
        <v>#DIV/0!</v>
      </c>
    </row>
    <row r="1393" spans="1:11" s="100" customFormat="1" ht="15.75" customHeight="1" outlineLevel="1">
      <c r="A1393" s="63" t="s">
        <v>1751</v>
      </c>
      <c r="B1393" s="63" t="s">
        <v>10</v>
      </c>
      <c r="C1393" s="63" t="s">
        <v>219</v>
      </c>
      <c r="D1393" s="65" t="s">
        <v>280</v>
      </c>
      <c r="E1393" s="66" t="s">
        <v>221</v>
      </c>
      <c r="F1393" s="64">
        <v>1</v>
      </c>
      <c r="G1393" s="249"/>
      <c r="H1393" s="249">
        <f t="shared" si="366"/>
        <v>0</v>
      </c>
      <c r="I1393" s="275">
        <f t="shared" si="367"/>
        <v>0</v>
      </c>
      <c r="J1393" s="74" t="e">
        <f t="shared" si="368"/>
        <v>#DIV/0!</v>
      </c>
    </row>
    <row r="1394" spans="1:11" s="100" customFormat="1" ht="30" customHeight="1" outlineLevel="1">
      <c r="A1394" s="63" t="s">
        <v>1752</v>
      </c>
      <c r="B1394" s="63" t="s">
        <v>10</v>
      </c>
      <c r="C1394" s="63" t="s">
        <v>219</v>
      </c>
      <c r="D1394" s="65" t="s">
        <v>281</v>
      </c>
      <c r="E1394" s="66" t="s">
        <v>221</v>
      </c>
      <c r="F1394" s="64">
        <v>1</v>
      </c>
      <c r="G1394" s="249"/>
      <c r="H1394" s="249">
        <f t="shared" si="366"/>
        <v>0</v>
      </c>
      <c r="I1394" s="275">
        <f t="shared" si="367"/>
        <v>0</v>
      </c>
      <c r="J1394" s="74" t="e">
        <f t="shared" si="368"/>
        <v>#DIV/0!</v>
      </c>
    </row>
    <row r="1395" spans="1:11" s="100" customFormat="1" ht="15.75" customHeight="1" outlineLevel="1">
      <c r="A1395" s="63" t="s">
        <v>1753</v>
      </c>
      <c r="B1395" s="63" t="s">
        <v>10</v>
      </c>
      <c r="C1395" s="63" t="s">
        <v>219</v>
      </c>
      <c r="D1395" s="65" t="s">
        <v>282</v>
      </c>
      <c r="E1395" s="66" t="s">
        <v>221</v>
      </c>
      <c r="F1395" s="64">
        <v>1</v>
      </c>
      <c r="G1395" s="249"/>
      <c r="H1395" s="249">
        <f t="shared" si="366"/>
        <v>0</v>
      </c>
      <c r="I1395" s="275">
        <f t="shared" si="367"/>
        <v>0</v>
      </c>
      <c r="J1395" s="74" t="e">
        <f t="shared" si="368"/>
        <v>#DIV/0!</v>
      </c>
    </row>
    <row r="1396" spans="1:11" s="100" customFormat="1" ht="15.75" customHeight="1" outlineLevel="1">
      <c r="A1396" s="63" t="s">
        <v>1754</v>
      </c>
      <c r="B1396" s="63" t="s">
        <v>10</v>
      </c>
      <c r="C1396" s="63" t="s">
        <v>219</v>
      </c>
      <c r="D1396" s="65" t="s">
        <v>283</v>
      </c>
      <c r="E1396" s="66" t="s">
        <v>221</v>
      </c>
      <c r="F1396" s="64">
        <v>1</v>
      </c>
      <c r="G1396" s="249"/>
      <c r="H1396" s="249">
        <f t="shared" si="366"/>
        <v>0</v>
      </c>
      <c r="I1396" s="275">
        <f t="shared" si="367"/>
        <v>0</v>
      </c>
      <c r="J1396" s="74" t="e">
        <f t="shared" si="368"/>
        <v>#DIV/0!</v>
      </c>
    </row>
    <row r="1397" spans="1:11" s="100" customFormat="1" ht="15.75" customHeight="1" outlineLevel="1">
      <c r="A1397" s="63" t="s">
        <v>1755</v>
      </c>
      <c r="B1397" s="63" t="s">
        <v>10</v>
      </c>
      <c r="C1397" s="63" t="s">
        <v>219</v>
      </c>
      <c r="D1397" s="65" t="s">
        <v>93</v>
      </c>
      <c r="E1397" s="66" t="s">
        <v>221</v>
      </c>
      <c r="F1397" s="64">
        <v>1</v>
      </c>
      <c r="G1397" s="249"/>
      <c r="H1397" s="249">
        <f t="shared" si="366"/>
        <v>0</v>
      </c>
      <c r="I1397" s="275">
        <f t="shared" si="367"/>
        <v>0</v>
      </c>
      <c r="J1397" s="74" t="e">
        <f t="shared" si="368"/>
        <v>#DIV/0!</v>
      </c>
    </row>
    <row r="1398" spans="1:11" s="100" customFormat="1" ht="27" outlineLevel="1">
      <c r="A1398" s="63" t="s">
        <v>1756</v>
      </c>
      <c r="B1398" s="63" t="s">
        <v>10</v>
      </c>
      <c r="C1398" s="63" t="s">
        <v>219</v>
      </c>
      <c r="D1398" s="65" t="s">
        <v>94</v>
      </c>
      <c r="E1398" s="66" t="s">
        <v>221</v>
      </c>
      <c r="F1398" s="64">
        <v>1</v>
      </c>
      <c r="G1398" s="249"/>
      <c r="H1398" s="249">
        <f t="shared" si="366"/>
        <v>0</v>
      </c>
      <c r="I1398" s="275">
        <f t="shared" si="367"/>
        <v>0</v>
      </c>
      <c r="J1398" s="74" t="e">
        <f t="shared" si="368"/>
        <v>#DIV/0!</v>
      </c>
    </row>
    <row r="1399" spans="1:11" s="100" customFormat="1" ht="15.75" customHeight="1" outlineLevel="1">
      <c r="A1399" s="63" t="s">
        <v>1757</v>
      </c>
      <c r="B1399" s="63" t="s">
        <v>10</v>
      </c>
      <c r="C1399" s="63" t="s">
        <v>219</v>
      </c>
      <c r="D1399" s="65" t="s">
        <v>95</v>
      </c>
      <c r="E1399" s="66" t="s">
        <v>221</v>
      </c>
      <c r="F1399" s="308">
        <v>1</v>
      </c>
      <c r="G1399" s="249"/>
      <c r="H1399" s="249">
        <f t="shared" si="366"/>
        <v>0</v>
      </c>
      <c r="I1399" s="275">
        <f t="shared" si="367"/>
        <v>0</v>
      </c>
      <c r="J1399" s="74" t="e">
        <f t="shared" si="368"/>
        <v>#DIV/0!</v>
      </c>
    </row>
    <row r="1400" spans="1:11" ht="15.75" customHeight="1">
      <c r="A1400" s="392" t="s">
        <v>1758</v>
      </c>
      <c r="B1400" s="392"/>
      <c r="C1400" s="392"/>
      <c r="D1400" s="392"/>
      <c r="E1400" s="392"/>
      <c r="F1400" s="392"/>
      <c r="G1400" s="392"/>
      <c r="H1400" s="392"/>
      <c r="I1400" s="219">
        <f>SUM(I1392:I1399)</f>
        <v>0</v>
      </c>
      <c r="J1400" s="144" t="e">
        <f>SUM(J1392:J1399)</f>
        <v>#DIV/0!</v>
      </c>
      <c r="K1400" s="318" t="e">
        <f>I1400/$I$1401</f>
        <v>#DIV/0!</v>
      </c>
    </row>
    <row r="1401" spans="1:11" s="157" customFormat="1">
      <c r="A1401" s="378" t="s">
        <v>1759</v>
      </c>
      <c r="B1401" s="378"/>
      <c r="C1401" s="378"/>
      <c r="D1401" s="378"/>
      <c r="E1401" s="378"/>
      <c r="F1401" s="378"/>
      <c r="G1401" s="378"/>
      <c r="H1401" s="378"/>
      <c r="I1401" s="177">
        <f>I1240+I1264+I1314+I1328+I1334+I1390+I1400</f>
        <v>0</v>
      </c>
      <c r="J1401" s="144" t="e">
        <f>J1240+J1264+J1314+J1328+J1334+J1390+J1400</f>
        <v>#DIV/0!</v>
      </c>
    </row>
    <row r="1402" spans="1:11" s="58" customFormat="1" ht="16.5" customHeight="1">
      <c r="A1402" s="62" t="s">
        <v>33</v>
      </c>
      <c r="B1402" s="391"/>
      <c r="C1402" s="391"/>
      <c r="D1402" s="76" t="s">
        <v>1760</v>
      </c>
      <c r="E1402" s="379"/>
      <c r="F1402" s="379"/>
      <c r="G1402" s="379"/>
      <c r="H1402" s="379"/>
      <c r="I1402" s="379"/>
      <c r="J1402" s="380"/>
    </row>
    <row r="1403" spans="1:11" s="191" customFormat="1" ht="15.75" customHeight="1">
      <c r="A1403" s="197" t="s">
        <v>196</v>
      </c>
      <c r="B1403" s="203"/>
      <c r="C1403" s="204"/>
      <c r="D1403" s="202" t="s">
        <v>1761</v>
      </c>
      <c r="E1403" s="78"/>
      <c r="F1403" s="78"/>
      <c r="G1403" s="181"/>
      <c r="H1403" s="181"/>
      <c r="I1403" s="181"/>
      <c r="J1403" s="79"/>
    </row>
    <row r="1404" spans="1:11" s="157" customFormat="1" outlineLevel="1">
      <c r="A1404" s="63" t="s">
        <v>197</v>
      </c>
      <c r="B1404" s="63">
        <v>88489</v>
      </c>
      <c r="C1404" s="63" t="s">
        <v>18</v>
      </c>
      <c r="D1404" s="65" t="s">
        <v>1461</v>
      </c>
      <c r="E1404" s="66" t="s">
        <v>116</v>
      </c>
      <c r="F1404" s="64">
        <v>1681.5</v>
      </c>
      <c r="G1404" s="249"/>
      <c r="H1404" s="249">
        <f t="shared" ref="H1404" si="369">TRUNC((G1404*(1+$I$12)),2)</f>
        <v>0</v>
      </c>
      <c r="I1404" s="249">
        <f t="shared" ref="I1404" si="370">ROUND((F1404*H1404),2)</f>
        <v>0</v>
      </c>
      <c r="J1404" s="248" t="e">
        <f>(I1404/$I$1421)</f>
        <v>#DIV/0!</v>
      </c>
    </row>
    <row r="1405" spans="1:11" s="157" customFormat="1">
      <c r="A1405" s="378" t="s">
        <v>1319</v>
      </c>
      <c r="B1405" s="378"/>
      <c r="C1405" s="378"/>
      <c r="D1405" s="378"/>
      <c r="E1405" s="378"/>
      <c r="F1405" s="378"/>
      <c r="G1405" s="378"/>
      <c r="H1405" s="378"/>
      <c r="I1405" s="177">
        <f>I1404</f>
        <v>0</v>
      </c>
      <c r="J1405" s="144" t="e">
        <f>J1404</f>
        <v>#DIV/0!</v>
      </c>
      <c r="K1405" s="318" t="e">
        <f>I1405/$I$1419</f>
        <v>#DIV/0!</v>
      </c>
    </row>
    <row r="1406" spans="1:11" s="104" customFormat="1" ht="15.75" customHeight="1">
      <c r="A1406" s="197" t="s">
        <v>1779</v>
      </c>
      <c r="B1406" s="203"/>
      <c r="C1406" s="204"/>
      <c r="D1406" s="202" t="s">
        <v>1762</v>
      </c>
      <c r="E1406" s="78"/>
      <c r="F1406" s="78"/>
      <c r="G1406" s="181"/>
      <c r="H1406" s="181"/>
      <c r="I1406" s="181"/>
      <c r="J1406" s="79"/>
    </row>
    <row r="1407" spans="1:11" s="157" customFormat="1" outlineLevel="1">
      <c r="A1407" s="63" t="s">
        <v>1782</v>
      </c>
      <c r="B1407" s="5" t="s">
        <v>1445</v>
      </c>
      <c r="C1407" s="5" t="s">
        <v>9</v>
      </c>
      <c r="D1407" s="129" t="s">
        <v>1444</v>
      </c>
      <c r="E1407" s="66" t="s">
        <v>218</v>
      </c>
      <c r="F1407" s="64">
        <f>424.31*0.1</f>
        <v>42.431000000000004</v>
      </c>
      <c r="G1407" s="249"/>
      <c r="H1407" s="249">
        <f t="shared" ref="H1407:H1414" si="371">TRUNC((G1407*(1+$I$12)),2)</f>
        <v>0</v>
      </c>
      <c r="I1407" s="249">
        <f t="shared" ref="I1407:I1414" si="372">ROUND((F1407*H1407),2)</f>
        <v>0</v>
      </c>
      <c r="J1407" s="248" t="e">
        <f t="shared" ref="J1407:J1414" si="373">(I1407/$I$1421)</f>
        <v>#DIV/0!</v>
      </c>
    </row>
    <row r="1408" spans="1:11" s="157" customFormat="1" ht="40.5" outlineLevel="1">
      <c r="A1408" s="63" t="s">
        <v>1783</v>
      </c>
      <c r="B1408" s="63">
        <v>100983</v>
      </c>
      <c r="C1408" s="63" t="s">
        <v>18</v>
      </c>
      <c r="D1408" s="65" t="s">
        <v>1896</v>
      </c>
      <c r="E1408" s="66" t="s">
        <v>218</v>
      </c>
      <c r="F1408" s="64">
        <f>F1407*1.3</f>
        <v>55.160300000000007</v>
      </c>
      <c r="G1408" s="350"/>
      <c r="H1408" s="350">
        <f t="shared" si="371"/>
        <v>0</v>
      </c>
      <c r="I1408" s="121">
        <f t="shared" si="372"/>
        <v>0</v>
      </c>
      <c r="J1408" s="349" t="e">
        <f t="shared" si="373"/>
        <v>#DIV/0!</v>
      </c>
    </row>
    <row r="1409" spans="1:11" s="157" customFormat="1" ht="27" outlineLevel="1">
      <c r="A1409" s="63" t="s">
        <v>1784</v>
      </c>
      <c r="B1409" s="63">
        <v>95875</v>
      </c>
      <c r="C1409" s="63" t="s">
        <v>18</v>
      </c>
      <c r="D1409" s="65" t="s">
        <v>1898</v>
      </c>
      <c r="E1409" s="66" t="s">
        <v>1897</v>
      </c>
      <c r="F1409" s="64">
        <f>F1408*4</f>
        <v>220.64120000000003</v>
      </c>
      <c r="G1409" s="350"/>
      <c r="H1409" s="350">
        <f t="shared" si="371"/>
        <v>0</v>
      </c>
      <c r="I1409" s="121">
        <f t="shared" si="372"/>
        <v>0</v>
      </c>
      <c r="J1409" s="349" t="e">
        <f t="shared" si="373"/>
        <v>#DIV/0!</v>
      </c>
    </row>
    <row r="1410" spans="1:11" s="157" customFormat="1" ht="27" outlineLevel="1">
      <c r="A1410" s="63" t="s">
        <v>1785</v>
      </c>
      <c r="B1410" s="63">
        <v>97084</v>
      </c>
      <c r="C1410" s="63" t="s">
        <v>18</v>
      </c>
      <c r="D1410" s="65" t="s">
        <v>791</v>
      </c>
      <c r="E1410" s="68" t="s">
        <v>116</v>
      </c>
      <c r="F1410" s="64">
        <v>424.31</v>
      </c>
      <c r="G1410" s="249"/>
      <c r="H1410" s="249">
        <f t="shared" si="371"/>
        <v>0</v>
      </c>
      <c r="I1410" s="249">
        <f t="shared" si="372"/>
        <v>0</v>
      </c>
      <c r="J1410" s="248" t="e">
        <f t="shared" si="373"/>
        <v>#DIV/0!</v>
      </c>
    </row>
    <row r="1411" spans="1:11" s="100" customFormat="1" ht="27" outlineLevel="1">
      <c r="A1411" s="63" t="s">
        <v>1786</v>
      </c>
      <c r="B1411" s="128">
        <v>96622</v>
      </c>
      <c r="C1411" s="128" t="s">
        <v>18</v>
      </c>
      <c r="D1411" s="82" t="s">
        <v>1895</v>
      </c>
      <c r="E1411" s="88" t="s">
        <v>218</v>
      </c>
      <c r="F1411" s="75">
        <f>F1410*0.05</f>
        <v>21.215500000000002</v>
      </c>
      <c r="G1411" s="145"/>
      <c r="H1411" s="84">
        <f t="shared" si="371"/>
        <v>0</v>
      </c>
      <c r="I1411" s="249">
        <f t="shared" si="372"/>
        <v>0</v>
      </c>
      <c r="J1411" s="248" t="e">
        <f t="shared" si="373"/>
        <v>#DIV/0!</v>
      </c>
    </row>
    <row r="1412" spans="1:11" s="100" customFormat="1" ht="27" outlineLevel="1">
      <c r="A1412" s="63" t="s">
        <v>1787</v>
      </c>
      <c r="B1412" s="63">
        <v>94993</v>
      </c>
      <c r="C1412" s="63" t="s">
        <v>18</v>
      </c>
      <c r="D1412" s="65" t="s">
        <v>790</v>
      </c>
      <c r="E1412" s="68" t="s">
        <v>116</v>
      </c>
      <c r="F1412" s="64">
        <v>424.31</v>
      </c>
      <c r="G1412" s="252"/>
      <c r="H1412" s="249">
        <f t="shared" si="371"/>
        <v>0</v>
      </c>
      <c r="I1412" s="249">
        <f t="shared" si="372"/>
        <v>0</v>
      </c>
      <c r="J1412" s="248" t="e">
        <f t="shared" si="373"/>
        <v>#DIV/0!</v>
      </c>
    </row>
    <row r="1413" spans="1:11" s="157" customFormat="1" ht="15.95" customHeight="1" outlineLevel="1">
      <c r="A1413" s="63" t="s">
        <v>1788</v>
      </c>
      <c r="B1413" s="5" t="s">
        <v>129</v>
      </c>
      <c r="C1413" s="5" t="s">
        <v>7</v>
      </c>
      <c r="D1413" s="106" t="s">
        <v>130</v>
      </c>
      <c r="E1413" s="68" t="s">
        <v>116</v>
      </c>
      <c r="F1413" s="64">
        <v>424.31</v>
      </c>
      <c r="G1413" s="252"/>
      <c r="H1413" s="249">
        <f t="shared" si="371"/>
        <v>0</v>
      </c>
      <c r="I1413" s="249">
        <f t="shared" si="372"/>
        <v>0</v>
      </c>
      <c r="J1413" s="248" t="e">
        <f t="shared" si="373"/>
        <v>#DIV/0!</v>
      </c>
    </row>
    <row r="1414" spans="1:11" s="157" customFormat="1" ht="27" outlineLevel="1">
      <c r="A1414" s="63" t="s">
        <v>1953</v>
      </c>
      <c r="B1414" s="5">
        <v>102491</v>
      </c>
      <c r="C1414" s="5" t="s">
        <v>18</v>
      </c>
      <c r="D1414" s="106" t="s">
        <v>788</v>
      </c>
      <c r="E1414" s="68" t="s">
        <v>116</v>
      </c>
      <c r="F1414" s="64">
        <v>424.31</v>
      </c>
      <c r="G1414" s="249"/>
      <c r="H1414" s="249">
        <f t="shared" si="371"/>
        <v>0</v>
      </c>
      <c r="I1414" s="249">
        <f t="shared" si="372"/>
        <v>0</v>
      </c>
      <c r="J1414" s="248" t="e">
        <f t="shared" si="373"/>
        <v>#DIV/0!</v>
      </c>
    </row>
    <row r="1415" spans="1:11" s="157" customFormat="1">
      <c r="A1415" s="378" t="s">
        <v>1790</v>
      </c>
      <c r="B1415" s="378"/>
      <c r="C1415" s="378"/>
      <c r="D1415" s="378"/>
      <c r="E1415" s="378"/>
      <c r="F1415" s="378"/>
      <c r="G1415" s="378"/>
      <c r="H1415" s="378"/>
      <c r="I1415" s="177">
        <f>SUM(I1407:I1414)</f>
        <v>0</v>
      </c>
      <c r="J1415" s="144" t="e">
        <f>SUM(J1407:J1414)</f>
        <v>#DIV/0!</v>
      </c>
      <c r="K1415" s="318" t="e">
        <f>I1415/$I$1419</f>
        <v>#DIV/0!</v>
      </c>
    </row>
    <row r="1416" spans="1:11" s="191" customFormat="1" ht="15.75" customHeight="1">
      <c r="A1416" s="197" t="s">
        <v>1780</v>
      </c>
      <c r="B1416" s="203"/>
      <c r="C1416" s="204"/>
      <c r="D1416" s="202" t="s">
        <v>1763</v>
      </c>
      <c r="E1416" s="78"/>
      <c r="F1416" s="78"/>
      <c r="G1416" s="181"/>
      <c r="H1416" s="181"/>
      <c r="I1416" s="181"/>
      <c r="J1416" s="79"/>
    </row>
    <row r="1417" spans="1:11" s="157" customFormat="1" outlineLevel="1">
      <c r="A1417" s="63" t="s">
        <v>1781</v>
      </c>
      <c r="B1417" s="63">
        <v>99814</v>
      </c>
      <c r="C1417" s="63" t="s">
        <v>18</v>
      </c>
      <c r="D1417" s="65" t="s">
        <v>1795</v>
      </c>
      <c r="E1417" s="66" t="s">
        <v>116</v>
      </c>
      <c r="F1417" s="64">
        <v>2293.75</v>
      </c>
      <c r="G1417" s="249"/>
      <c r="H1417" s="249">
        <f t="shared" ref="H1417" si="374">TRUNC((G1417*(1+$I$12)),2)</f>
        <v>0</v>
      </c>
      <c r="I1417" s="249">
        <f t="shared" ref="I1417" si="375">ROUND((F1417*H1417),2)</f>
        <v>0</v>
      </c>
      <c r="J1417" s="371" t="e">
        <f>(I1417/$I$1421)</f>
        <v>#DIV/0!</v>
      </c>
    </row>
    <row r="1418" spans="1:11" s="157" customFormat="1">
      <c r="A1418" s="378" t="s">
        <v>1791</v>
      </c>
      <c r="B1418" s="378"/>
      <c r="C1418" s="378"/>
      <c r="D1418" s="378"/>
      <c r="E1418" s="378"/>
      <c r="F1418" s="378"/>
      <c r="G1418" s="378"/>
      <c r="H1418" s="378"/>
      <c r="I1418" s="177">
        <f>I1417</f>
        <v>0</v>
      </c>
      <c r="J1418" s="144" t="e">
        <f>J1417</f>
        <v>#DIV/0!</v>
      </c>
      <c r="K1418" s="318" t="e">
        <f>I1418/$I$1419</f>
        <v>#DIV/0!</v>
      </c>
    </row>
    <row r="1419" spans="1:11" s="157" customFormat="1">
      <c r="A1419" s="378" t="s">
        <v>1524</v>
      </c>
      <c r="B1419" s="378"/>
      <c r="C1419" s="378"/>
      <c r="D1419" s="378"/>
      <c r="E1419" s="378"/>
      <c r="F1419" s="378"/>
      <c r="G1419" s="378"/>
      <c r="H1419" s="378"/>
      <c r="I1419" s="177">
        <f>I1405+I1415+I1418</f>
        <v>0</v>
      </c>
      <c r="J1419" s="144" t="e">
        <f>J1418+J1415+J1405</f>
        <v>#DIV/0!</v>
      </c>
    </row>
    <row r="1420" spans="1:11" ht="15.95" customHeight="1">
      <c r="A1420" s="45"/>
      <c r="B1420" s="43"/>
      <c r="C1420" s="43"/>
      <c r="D1420" s="8"/>
      <c r="E1420" s="46"/>
      <c r="G1420" s="183"/>
      <c r="H1420" s="183"/>
      <c r="I1420" s="183"/>
    </row>
    <row r="1421" spans="1:11" s="115" customFormat="1" ht="20.100000000000001" customHeight="1">
      <c r="A1421" s="407" t="s">
        <v>96</v>
      </c>
      <c r="B1421" s="407"/>
      <c r="C1421" s="407"/>
      <c r="D1421" s="407"/>
      <c r="E1421" s="407"/>
      <c r="F1421" s="407"/>
      <c r="G1421" s="407"/>
      <c r="H1421" s="407"/>
      <c r="I1421" s="232">
        <f>I22+I432+I587+I944+I1052+I1112+I1139+I1236+I1401+I1419</f>
        <v>0</v>
      </c>
      <c r="J1421" s="233" t="e">
        <f>J22+J432+J587+J944+J1052+J1112+J1139+J1236+J1401+J1419</f>
        <v>#DIV/0!</v>
      </c>
    </row>
    <row r="1422" spans="1:11" ht="18" customHeight="1">
      <c r="A1422" s="45"/>
      <c r="B1422" s="43"/>
      <c r="C1422" s="43"/>
      <c r="D1422" s="8"/>
      <c r="E1422" s="46"/>
      <c r="G1422" s="183"/>
      <c r="H1422" s="183"/>
      <c r="I1422" s="183"/>
    </row>
    <row r="1423" spans="1:11" s="6" customFormat="1">
      <c r="A1423" s="408" t="s">
        <v>189</v>
      </c>
      <c r="B1423" s="408"/>
      <c r="C1423" s="412" t="s">
        <v>190</v>
      </c>
      <c r="D1423" s="412"/>
      <c r="E1423" s="412"/>
      <c r="F1423" s="412"/>
      <c r="G1423" s="412"/>
      <c r="H1423" s="412"/>
      <c r="I1423" s="412"/>
      <c r="J1423" s="413"/>
    </row>
    <row r="1424" spans="1:11" s="6" customFormat="1">
      <c r="A1424" s="408"/>
      <c r="B1424" s="408"/>
      <c r="C1424" s="414" t="s">
        <v>1847</v>
      </c>
      <c r="D1424" s="414"/>
      <c r="E1424" s="414"/>
      <c r="F1424" s="414"/>
      <c r="G1424" s="414"/>
      <c r="H1424" s="414"/>
      <c r="I1424" s="414"/>
      <c r="J1424" s="415"/>
    </row>
    <row r="1425" spans="1:11" s="6" customFormat="1">
      <c r="A1425" s="408"/>
      <c r="B1425" s="408"/>
      <c r="C1425" s="416" t="s">
        <v>1848</v>
      </c>
      <c r="D1425" s="416"/>
      <c r="E1425" s="416"/>
      <c r="F1425" s="416"/>
      <c r="G1425" s="416"/>
      <c r="H1425" s="416"/>
      <c r="I1425" s="416"/>
      <c r="J1425" s="417"/>
    </row>
    <row r="1426" spans="1:11" ht="15.95" customHeight="1">
      <c r="D1426" s="7"/>
      <c r="I1426" s="172"/>
    </row>
    <row r="1427" spans="1:11" ht="15.95" customHeight="1">
      <c r="D1427" s="7"/>
      <c r="I1427" s="172"/>
    </row>
    <row r="1428" spans="1:11" ht="15.75" customHeight="1">
      <c r="D1428" s="7"/>
      <c r="I1428" s="172"/>
      <c r="K1428" s="229"/>
    </row>
    <row r="1429" spans="1:11" ht="15.95" customHeight="1">
      <c r="D1429" s="351"/>
      <c r="I1429" s="172"/>
      <c r="K1429" s="229"/>
    </row>
    <row r="1430" spans="1:11" ht="15.95" customHeight="1">
      <c r="D1430" s="352"/>
      <c r="I1430" s="172"/>
      <c r="K1430" s="229"/>
    </row>
    <row r="1431" spans="1:11" ht="15.95" customHeight="1">
      <c r="D1431" s="352"/>
      <c r="I1431" s="172"/>
      <c r="K1431" s="229"/>
    </row>
    <row r="1432" spans="1:11" ht="15.95" customHeight="1">
      <c r="D1432" s="352"/>
      <c r="I1432" s="172"/>
      <c r="K1432" s="229"/>
    </row>
    <row r="1433" spans="1:11" ht="15.95" customHeight="1">
      <c r="D1433" s="351"/>
      <c r="I1433" s="172"/>
      <c r="K1433" s="229"/>
    </row>
    <row r="1434" spans="1:11" ht="15.95" customHeight="1">
      <c r="D1434" s="351"/>
      <c r="I1434" s="172"/>
      <c r="K1434" s="229"/>
    </row>
    <row r="1435" spans="1:11" ht="15.95" customHeight="1">
      <c r="D1435" s="351"/>
      <c r="I1435" s="172"/>
      <c r="K1435" s="229"/>
    </row>
    <row r="1436" spans="1:11" ht="15.95" customHeight="1">
      <c r="D1436" s="351"/>
      <c r="I1436" s="172"/>
      <c r="K1436" s="229"/>
    </row>
    <row r="1437" spans="1:11" ht="15.75" customHeight="1">
      <c r="D1437" s="7"/>
      <c r="I1437" s="172"/>
    </row>
    <row r="1438" spans="1:11" ht="15.95" customHeight="1">
      <c r="D1438" s="7"/>
      <c r="I1438" s="172"/>
    </row>
    <row r="1439" spans="1:11" ht="15.95" customHeight="1">
      <c r="D1439" s="7"/>
      <c r="I1439" s="172"/>
    </row>
    <row r="1440" spans="1:11" ht="15.95" customHeight="1">
      <c r="D1440" s="7"/>
      <c r="I1440" s="172"/>
    </row>
    <row r="1441" spans="1:10" ht="15.95" customHeight="1">
      <c r="D1441" s="7"/>
      <c r="I1441" s="172"/>
    </row>
    <row r="1442" spans="1:10" ht="15.95" customHeight="1">
      <c r="A1442" s="398" t="s">
        <v>185</v>
      </c>
      <c r="B1442" s="398"/>
      <c r="C1442" s="398"/>
      <c r="D1442" s="398"/>
      <c r="E1442" s="398"/>
      <c r="F1442" s="398"/>
      <c r="G1442" s="398"/>
      <c r="H1442" s="398"/>
      <c r="I1442" s="398"/>
      <c r="J1442" s="398"/>
    </row>
    <row r="1443" spans="1:10" ht="15.95" customHeight="1">
      <c r="A1443" s="399" t="s">
        <v>186</v>
      </c>
      <c r="B1443" s="399"/>
      <c r="C1443" s="399"/>
      <c r="D1443" s="399"/>
      <c r="E1443" s="399"/>
      <c r="F1443" s="399"/>
      <c r="G1443" s="399"/>
      <c r="H1443" s="399"/>
      <c r="I1443" s="399"/>
      <c r="J1443" s="399"/>
    </row>
    <row r="1444" spans="1:10" ht="15.95" customHeight="1">
      <c r="A1444" s="399" t="s">
        <v>1954</v>
      </c>
      <c r="B1444" s="399"/>
      <c r="C1444" s="399"/>
      <c r="D1444" s="399"/>
      <c r="E1444" s="399"/>
      <c r="F1444" s="399"/>
      <c r="G1444" s="399"/>
      <c r="H1444" s="399"/>
      <c r="I1444" s="399"/>
      <c r="J1444" s="399"/>
    </row>
    <row r="1445" spans="1:10" ht="15.95" customHeight="1">
      <c r="D1445" s="7"/>
      <c r="I1445" s="172"/>
    </row>
    <row r="1446" spans="1:10" ht="15.95" customHeight="1">
      <c r="A1446" s="45"/>
      <c r="B1446" s="43"/>
      <c r="C1446" s="43"/>
      <c r="D1446" s="8"/>
      <c r="E1446" s="46"/>
      <c r="G1446" s="183"/>
      <c r="H1446" s="183"/>
      <c r="I1446" s="183"/>
    </row>
    <row r="1447" spans="1:10">
      <c r="I1447" s="172"/>
    </row>
    <row r="1448" spans="1:10">
      <c r="I1448" s="172"/>
    </row>
    <row r="1449" spans="1:10">
      <c r="I1449" s="172"/>
    </row>
    <row r="1450" spans="1:10">
      <c r="I1450" s="172"/>
    </row>
    <row r="1451" spans="1:10">
      <c r="I1451" s="172"/>
    </row>
    <row r="1452" spans="1:10">
      <c r="I1452" s="172"/>
    </row>
    <row r="1453" spans="1:10">
      <c r="I1453" s="172"/>
    </row>
    <row r="1454" spans="1:10">
      <c r="I1454" s="172"/>
    </row>
    <row r="1455" spans="1:10">
      <c r="I1455" s="172"/>
    </row>
    <row r="1456" spans="1:10">
      <c r="I1456" s="172"/>
    </row>
    <row r="1457" spans="9:9">
      <c r="I1457" s="172"/>
    </row>
    <row r="1458" spans="9:9">
      <c r="I1458" s="172"/>
    </row>
    <row r="1459" spans="9:9">
      <c r="I1459" s="172"/>
    </row>
    <row r="1460" spans="9:9">
      <c r="I1460" s="172"/>
    </row>
    <row r="1461" spans="9:9">
      <c r="I1461" s="172"/>
    </row>
    <row r="1462" spans="9:9">
      <c r="I1462" s="172"/>
    </row>
    <row r="1463" spans="9:9">
      <c r="I1463" s="172"/>
    </row>
    <row r="1464" spans="9:9">
      <c r="I1464" s="172"/>
    </row>
    <row r="1465" spans="9:9">
      <c r="I1465" s="172"/>
    </row>
    <row r="1466" spans="9:9">
      <c r="I1466" s="172"/>
    </row>
    <row r="1467" spans="9:9">
      <c r="I1467" s="172"/>
    </row>
    <row r="1468" spans="9:9">
      <c r="I1468" s="172"/>
    </row>
    <row r="1469" spans="9:9">
      <c r="I1469" s="172"/>
    </row>
    <row r="1470" spans="9:9">
      <c r="I1470" s="172"/>
    </row>
    <row r="1471" spans="9:9">
      <c r="I1471" s="172"/>
    </row>
    <row r="1472" spans="9:9">
      <c r="I1472" s="172"/>
    </row>
    <row r="1473" spans="9:9">
      <c r="I1473" s="172"/>
    </row>
    <row r="1474" spans="9:9">
      <c r="I1474" s="172"/>
    </row>
    <row r="1475" spans="9:9">
      <c r="I1475" s="172"/>
    </row>
    <row r="1476" spans="9:9">
      <c r="I1476" s="172"/>
    </row>
    <row r="1477" spans="9:9">
      <c r="I1477" s="172"/>
    </row>
    <row r="1478" spans="9:9">
      <c r="I1478" s="172"/>
    </row>
    <row r="1479" spans="9:9">
      <c r="I1479" s="172"/>
    </row>
    <row r="1480" spans="9:9">
      <c r="I1480" s="172"/>
    </row>
    <row r="1481" spans="9:9">
      <c r="I1481" s="172"/>
    </row>
    <row r="1482" spans="9:9">
      <c r="I1482" s="172"/>
    </row>
    <row r="1483" spans="9:9">
      <c r="I1483" s="172"/>
    </row>
    <row r="1484" spans="9:9">
      <c r="I1484" s="172"/>
    </row>
    <row r="1485" spans="9:9">
      <c r="I1485" s="172"/>
    </row>
    <row r="1486" spans="9:9">
      <c r="I1486" s="172"/>
    </row>
    <row r="1487" spans="9:9">
      <c r="I1487" s="172"/>
    </row>
    <row r="1488" spans="9:9">
      <c r="I1488" s="172"/>
    </row>
    <row r="1489" spans="9:9">
      <c r="I1489" s="172"/>
    </row>
    <row r="1490" spans="9:9">
      <c r="I1490" s="172"/>
    </row>
    <row r="1491" spans="9:9">
      <c r="I1491" s="172"/>
    </row>
    <row r="1492" spans="9:9">
      <c r="I1492" s="172"/>
    </row>
    <row r="1493" spans="9:9">
      <c r="I1493" s="172"/>
    </row>
    <row r="1494" spans="9:9">
      <c r="I1494" s="172"/>
    </row>
    <row r="1495" spans="9:9">
      <c r="I1495" s="172"/>
    </row>
    <row r="1496" spans="9:9">
      <c r="I1496" s="172"/>
    </row>
    <row r="1497" spans="9:9">
      <c r="I1497" s="172"/>
    </row>
    <row r="1498" spans="9:9">
      <c r="I1498" s="172"/>
    </row>
    <row r="1499" spans="9:9">
      <c r="I1499" s="172"/>
    </row>
    <row r="1500" spans="9:9">
      <c r="I1500" s="172"/>
    </row>
    <row r="1501" spans="9:9">
      <c r="I1501" s="172"/>
    </row>
    <row r="1502" spans="9:9">
      <c r="I1502" s="172"/>
    </row>
    <row r="1503" spans="9:9">
      <c r="I1503" s="172"/>
    </row>
    <row r="1504" spans="9:9">
      <c r="I1504" s="172"/>
    </row>
    <row r="1505" spans="9:9">
      <c r="I1505" s="172"/>
    </row>
    <row r="1506" spans="9:9">
      <c r="I1506" s="172"/>
    </row>
    <row r="1507" spans="9:9">
      <c r="I1507" s="172"/>
    </row>
    <row r="1508" spans="9:9">
      <c r="I1508" s="172"/>
    </row>
    <row r="1509" spans="9:9">
      <c r="I1509" s="172"/>
    </row>
    <row r="1510" spans="9:9">
      <c r="I1510" s="172"/>
    </row>
    <row r="1511" spans="9:9">
      <c r="I1511" s="172"/>
    </row>
    <row r="1512" spans="9:9">
      <c r="I1512" s="172"/>
    </row>
    <row r="1513" spans="9:9">
      <c r="I1513" s="172"/>
    </row>
    <row r="1514" spans="9:9">
      <c r="I1514" s="172"/>
    </row>
    <row r="1515" spans="9:9">
      <c r="I1515" s="172"/>
    </row>
    <row r="1516" spans="9:9">
      <c r="I1516" s="172"/>
    </row>
    <row r="1517" spans="9:9">
      <c r="I1517" s="172"/>
    </row>
    <row r="1518" spans="9:9">
      <c r="I1518" s="172"/>
    </row>
    <row r="1519" spans="9:9">
      <c r="I1519" s="172"/>
    </row>
    <row r="1520" spans="9:9">
      <c r="I1520" s="172"/>
    </row>
    <row r="1521" spans="9:9">
      <c r="I1521" s="172"/>
    </row>
    <row r="1522" spans="9:9">
      <c r="I1522" s="172"/>
    </row>
    <row r="1523" spans="9:9">
      <c r="I1523" s="172"/>
    </row>
    <row r="1524" spans="9:9">
      <c r="I1524" s="172"/>
    </row>
    <row r="1525" spans="9:9">
      <c r="I1525" s="172"/>
    </row>
    <row r="1526" spans="9:9">
      <c r="I1526" s="172"/>
    </row>
    <row r="1527" spans="9:9">
      <c r="I1527" s="172"/>
    </row>
    <row r="1528" spans="9:9">
      <c r="I1528" s="172"/>
    </row>
    <row r="1529" spans="9:9">
      <c r="I1529" s="172"/>
    </row>
    <row r="1530" spans="9:9">
      <c r="I1530" s="172"/>
    </row>
    <row r="1531" spans="9:9">
      <c r="I1531" s="172"/>
    </row>
    <row r="1532" spans="9:9">
      <c r="I1532" s="172"/>
    </row>
    <row r="1533" spans="9:9">
      <c r="I1533" s="172"/>
    </row>
    <row r="1534" spans="9:9">
      <c r="I1534" s="172"/>
    </row>
    <row r="1535" spans="9:9">
      <c r="I1535" s="172"/>
    </row>
    <row r="1536" spans="9:9">
      <c r="I1536" s="172"/>
    </row>
    <row r="1537" spans="9:9">
      <c r="I1537" s="172"/>
    </row>
    <row r="1538" spans="9:9">
      <c r="I1538" s="172"/>
    </row>
    <row r="1539" spans="9:9">
      <c r="I1539" s="172"/>
    </row>
    <row r="1540" spans="9:9">
      <c r="I1540" s="172"/>
    </row>
    <row r="1541" spans="9:9">
      <c r="I1541" s="172"/>
    </row>
    <row r="1542" spans="9:9">
      <c r="I1542" s="172"/>
    </row>
    <row r="1543" spans="9:9">
      <c r="I1543" s="172"/>
    </row>
    <row r="1544" spans="9:9">
      <c r="I1544" s="172"/>
    </row>
    <row r="1545" spans="9:9">
      <c r="I1545" s="172"/>
    </row>
    <row r="1546" spans="9:9">
      <c r="I1546" s="172"/>
    </row>
    <row r="1547" spans="9:9">
      <c r="I1547" s="172"/>
    </row>
    <row r="1548" spans="9:9">
      <c r="I1548" s="172"/>
    </row>
    <row r="1549" spans="9:9">
      <c r="I1549" s="172"/>
    </row>
    <row r="1550" spans="9:9">
      <c r="I1550" s="172"/>
    </row>
    <row r="1551" spans="9:9">
      <c r="I1551" s="172"/>
    </row>
    <row r="1552" spans="9:9">
      <c r="I1552" s="172"/>
    </row>
    <row r="1553" spans="9:9">
      <c r="I1553" s="172"/>
    </row>
    <row r="1554" spans="9:9">
      <c r="I1554" s="172"/>
    </row>
    <row r="1555" spans="9:9">
      <c r="I1555" s="172"/>
    </row>
    <row r="1556" spans="9:9">
      <c r="I1556" s="172"/>
    </row>
    <row r="1557" spans="9:9">
      <c r="I1557" s="172"/>
    </row>
    <row r="1558" spans="9:9">
      <c r="I1558" s="172"/>
    </row>
    <row r="1559" spans="9:9">
      <c r="I1559" s="172"/>
    </row>
    <row r="1560" spans="9:9">
      <c r="I1560" s="172"/>
    </row>
    <row r="1561" spans="9:9">
      <c r="I1561" s="172"/>
    </row>
    <row r="1562" spans="9:9">
      <c r="I1562" s="172"/>
    </row>
    <row r="1563" spans="9:9">
      <c r="I1563" s="172"/>
    </row>
    <row r="1564" spans="9:9">
      <c r="I1564" s="172"/>
    </row>
    <row r="1565" spans="9:9">
      <c r="I1565" s="172"/>
    </row>
    <row r="1566" spans="9:9">
      <c r="I1566" s="172"/>
    </row>
    <row r="1567" spans="9:9">
      <c r="I1567" s="172"/>
    </row>
    <row r="1568" spans="9:9">
      <c r="I1568" s="172"/>
    </row>
    <row r="1569" spans="9:9">
      <c r="I1569" s="172"/>
    </row>
    <row r="1570" spans="9:9">
      <c r="I1570" s="172"/>
    </row>
    <row r="1571" spans="9:9">
      <c r="I1571" s="172"/>
    </row>
    <row r="1572" spans="9:9">
      <c r="I1572" s="172"/>
    </row>
    <row r="1573" spans="9:9">
      <c r="I1573" s="172"/>
    </row>
    <row r="1574" spans="9:9">
      <c r="I1574" s="172"/>
    </row>
    <row r="1575" spans="9:9">
      <c r="I1575" s="172"/>
    </row>
    <row r="1576" spans="9:9">
      <c r="I1576" s="172"/>
    </row>
    <row r="1577" spans="9:9">
      <c r="I1577" s="172"/>
    </row>
    <row r="1578" spans="9:9">
      <c r="I1578" s="172"/>
    </row>
    <row r="1579" spans="9:9">
      <c r="I1579" s="172"/>
    </row>
    <row r="1580" spans="9:9">
      <c r="I1580" s="172"/>
    </row>
    <row r="1581" spans="9:9">
      <c r="I1581" s="172"/>
    </row>
    <row r="1582" spans="9:9">
      <c r="I1582" s="172"/>
    </row>
    <row r="1583" spans="9:9">
      <c r="I1583" s="172"/>
    </row>
    <row r="1584" spans="9:9">
      <c r="I1584" s="172"/>
    </row>
    <row r="1585" spans="9:9">
      <c r="I1585" s="172"/>
    </row>
    <row r="1586" spans="9:9">
      <c r="I1586" s="172"/>
    </row>
    <row r="1587" spans="9:9">
      <c r="I1587" s="172"/>
    </row>
    <row r="1588" spans="9:9">
      <c r="I1588" s="172"/>
    </row>
    <row r="1589" spans="9:9">
      <c r="I1589" s="172"/>
    </row>
    <row r="1590" spans="9:9">
      <c r="I1590" s="172"/>
    </row>
    <row r="1591" spans="9:9">
      <c r="I1591" s="172"/>
    </row>
    <row r="1592" spans="9:9">
      <c r="I1592" s="172"/>
    </row>
    <row r="1593" spans="9:9">
      <c r="I1593" s="172"/>
    </row>
    <row r="1594" spans="9:9">
      <c r="I1594" s="172"/>
    </row>
    <row r="1595" spans="9:9">
      <c r="I1595" s="172"/>
    </row>
    <row r="1596" spans="9:9">
      <c r="I1596" s="172"/>
    </row>
    <row r="1597" spans="9:9">
      <c r="I1597" s="172"/>
    </row>
    <row r="1598" spans="9:9">
      <c r="I1598" s="172"/>
    </row>
    <row r="1599" spans="9:9">
      <c r="I1599" s="172"/>
    </row>
    <row r="1600" spans="9:9">
      <c r="I1600" s="172"/>
    </row>
    <row r="1601" spans="9:9">
      <c r="I1601" s="172"/>
    </row>
    <row r="1602" spans="9:9">
      <c r="I1602" s="172"/>
    </row>
    <row r="1603" spans="9:9">
      <c r="I1603" s="172"/>
    </row>
    <row r="1604" spans="9:9">
      <c r="I1604" s="172"/>
    </row>
    <row r="1605" spans="9:9">
      <c r="I1605" s="172"/>
    </row>
    <row r="1606" spans="9:9">
      <c r="I1606" s="172"/>
    </row>
    <row r="1607" spans="9:9">
      <c r="I1607" s="172"/>
    </row>
    <row r="1608" spans="9:9">
      <c r="I1608" s="172"/>
    </row>
    <row r="1609" spans="9:9">
      <c r="I1609" s="172"/>
    </row>
    <row r="1610" spans="9:9">
      <c r="I1610" s="172"/>
    </row>
    <row r="1611" spans="9:9">
      <c r="I1611" s="172"/>
    </row>
    <row r="1612" spans="9:9">
      <c r="I1612" s="172"/>
    </row>
    <row r="1613" spans="9:9">
      <c r="I1613" s="172"/>
    </row>
    <row r="1614" spans="9:9">
      <c r="I1614" s="172"/>
    </row>
    <row r="1615" spans="9:9">
      <c r="I1615" s="172"/>
    </row>
    <row r="1616" spans="9:9">
      <c r="I1616" s="172"/>
    </row>
    <row r="1617" spans="9:9">
      <c r="I1617" s="172"/>
    </row>
    <row r="1618" spans="9:9">
      <c r="I1618" s="172"/>
    </row>
    <row r="1619" spans="9:9">
      <c r="I1619" s="172"/>
    </row>
    <row r="1620" spans="9:9">
      <c r="I1620" s="172"/>
    </row>
    <row r="1621" spans="9:9">
      <c r="I1621" s="172"/>
    </row>
    <row r="1622" spans="9:9">
      <c r="I1622" s="172"/>
    </row>
    <row r="1623" spans="9:9">
      <c r="I1623" s="172"/>
    </row>
    <row r="1624" spans="9:9">
      <c r="I1624" s="172"/>
    </row>
    <row r="1625" spans="9:9">
      <c r="I1625" s="172"/>
    </row>
    <row r="1626" spans="9:9">
      <c r="I1626" s="172"/>
    </row>
    <row r="1627" spans="9:9">
      <c r="I1627" s="172"/>
    </row>
    <row r="1628" spans="9:9">
      <c r="I1628" s="172"/>
    </row>
    <row r="1629" spans="9:9">
      <c r="I1629" s="172"/>
    </row>
    <row r="1630" spans="9:9">
      <c r="I1630" s="172"/>
    </row>
    <row r="1631" spans="9:9">
      <c r="I1631" s="172"/>
    </row>
    <row r="1632" spans="9:9">
      <c r="I1632" s="172"/>
    </row>
    <row r="1633" spans="9:9">
      <c r="I1633" s="172"/>
    </row>
    <row r="1634" spans="9:9">
      <c r="I1634" s="172"/>
    </row>
    <row r="1635" spans="9:9">
      <c r="I1635" s="172"/>
    </row>
    <row r="1636" spans="9:9">
      <c r="I1636" s="172"/>
    </row>
    <row r="1637" spans="9:9">
      <c r="I1637" s="172"/>
    </row>
    <row r="1638" spans="9:9">
      <c r="I1638" s="172"/>
    </row>
    <row r="1639" spans="9:9">
      <c r="I1639" s="172"/>
    </row>
    <row r="1640" spans="9:9">
      <c r="I1640" s="172"/>
    </row>
    <row r="1641" spans="9:9">
      <c r="I1641" s="172"/>
    </row>
    <row r="1642" spans="9:9">
      <c r="I1642" s="172"/>
    </row>
    <row r="1643" spans="9:9">
      <c r="I1643" s="172"/>
    </row>
    <row r="1644" spans="9:9">
      <c r="I1644" s="172"/>
    </row>
    <row r="1645" spans="9:9">
      <c r="I1645" s="172"/>
    </row>
    <row r="1646" spans="9:9">
      <c r="I1646" s="172"/>
    </row>
    <row r="1647" spans="9:9">
      <c r="I1647" s="172"/>
    </row>
    <row r="1648" spans="9:9">
      <c r="I1648" s="172"/>
    </row>
    <row r="1649" spans="9:9">
      <c r="I1649" s="172"/>
    </row>
    <row r="1650" spans="9:9">
      <c r="I1650" s="172"/>
    </row>
    <row r="1651" spans="9:9">
      <c r="I1651" s="172"/>
    </row>
    <row r="1652" spans="9:9">
      <c r="I1652" s="172"/>
    </row>
    <row r="1653" spans="9:9">
      <c r="I1653" s="172"/>
    </row>
    <row r="1654" spans="9:9">
      <c r="I1654" s="172"/>
    </row>
    <row r="1655" spans="9:9">
      <c r="I1655" s="172"/>
    </row>
    <row r="1656" spans="9:9">
      <c r="I1656" s="172"/>
    </row>
    <row r="1657" spans="9:9">
      <c r="I1657" s="172"/>
    </row>
    <row r="1658" spans="9:9">
      <c r="I1658" s="172"/>
    </row>
    <row r="1659" spans="9:9">
      <c r="I1659" s="172"/>
    </row>
    <row r="1660" spans="9:9">
      <c r="I1660" s="172"/>
    </row>
    <row r="1661" spans="9:9">
      <c r="I1661" s="172"/>
    </row>
    <row r="1662" spans="9:9">
      <c r="I1662" s="172"/>
    </row>
    <row r="1663" spans="9:9">
      <c r="I1663" s="172"/>
    </row>
    <row r="1664" spans="9:9">
      <c r="I1664" s="172"/>
    </row>
    <row r="1665" spans="9:9">
      <c r="I1665" s="172"/>
    </row>
    <row r="1666" spans="9:9">
      <c r="I1666" s="172"/>
    </row>
    <row r="1667" spans="9:9">
      <c r="I1667" s="172"/>
    </row>
    <row r="1668" spans="9:9">
      <c r="I1668" s="172"/>
    </row>
    <row r="1669" spans="9:9">
      <c r="I1669" s="172"/>
    </row>
    <row r="1670" spans="9:9">
      <c r="I1670" s="172"/>
    </row>
    <row r="1671" spans="9:9">
      <c r="I1671" s="172"/>
    </row>
    <row r="1672" spans="9:9">
      <c r="I1672" s="172"/>
    </row>
    <row r="1673" spans="9:9">
      <c r="I1673" s="172"/>
    </row>
    <row r="1674" spans="9:9">
      <c r="I1674" s="172"/>
    </row>
    <row r="1675" spans="9:9">
      <c r="I1675" s="172"/>
    </row>
    <row r="1676" spans="9:9">
      <c r="I1676" s="172"/>
    </row>
    <row r="1677" spans="9:9">
      <c r="I1677" s="172"/>
    </row>
    <row r="1678" spans="9:9">
      <c r="I1678" s="172"/>
    </row>
    <row r="1679" spans="9:9">
      <c r="I1679" s="172"/>
    </row>
    <row r="1680" spans="9:9">
      <c r="I1680" s="172"/>
    </row>
    <row r="1681" spans="9:9">
      <c r="I1681" s="172"/>
    </row>
    <row r="1682" spans="9:9">
      <c r="I1682" s="172"/>
    </row>
    <row r="1683" spans="9:9">
      <c r="I1683" s="172"/>
    </row>
    <row r="1684" spans="9:9">
      <c r="I1684" s="172"/>
    </row>
    <row r="1685" spans="9:9">
      <c r="I1685" s="172"/>
    </row>
    <row r="1686" spans="9:9">
      <c r="I1686" s="172"/>
    </row>
    <row r="1687" spans="9:9">
      <c r="I1687" s="172"/>
    </row>
    <row r="1688" spans="9:9">
      <c r="I1688" s="172"/>
    </row>
    <row r="1689" spans="9:9">
      <c r="I1689" s="172"/>
    </row>
    <row r="1690" spans="9:9">
      <c r="I1690" s="172"/>
    </row>
    <row r="1691" spans="9:9">
      <c r="I1691" s="172"/>
    </row>
    <row r="1692" spans="9:9">
      <c r="I1692" s="172"/>
    </row>
    <row r="1693" spans="9:9">
      <c r="I1693" s="172"/>
    </row>
    <row r="1694" spans="9:9">
      <c r="I1694" s="172"/>
    </row>
    <row r="1695" spans="9:9">
      <c r="I1695" s="172"/>
    </row>
    <row r="1696" spans="9:9">
      <c r="I1696" s="172"/>
    </row>
    <row r="1697" spans="9:9">
      <c r="I1697" s="172"/>
    </row>
    <row r="1698" spans="9:9">
      <c r="I1698" s="172"/>
    </row>
    <row r="1699" spans="9:9">
      <c r="I1699" s="172"/>
    </row>
    <row r="1700" spans="9:9">
      <c r="I1700" s="172"/>
    </row>
    <row r="1701" spans="9:9">
      <c r="I1701" s="172"/>
    </row>
    <row r="1702" spans="9:9">
      <c r="I1702" s="172"/>
    </row>
    <row r="1703" spans="9:9">
      <c r="I1703" s="172"/>
    </row>
    <row r="1704" spans="9:9">
      <c r="I1704" s="172"/>
    </row>
    <row r="1705" spans="9:9">
      <c r="I1705" s="172"/>
    </row>
    <row r="1706" spans="9:9">
      <c r="I1706" s="172"/>
    </row>
    <row r="1707" spans="9:9">
      <c r="I1707" s="172"/>
    </row>
    <row r="1708" spans="9:9">
      <c r="I1708" s="172"/>
    </row>
    <row r="1709" spans="9:9">
      <c r="I1709" s="172"/>
    </row>
    <row r="1710" spans="9:9">
      <c r="I1710" s="172"/>
    </row>
    <row r="1711" spans="9:9">
      <c r="I1711" s="172"/>
    </row>
    <row r="1712" spans="9:9">
      <c r="I1712" s="172"/>
    </row>
    <row r="1713" spans="9:9">
      <c r="I1713" s="172"/>
    </row>
    <row r="1714" spans="9:9">
      <c r="I1714" s="172"/>
    </row>
    <row r="1715" spans="9:9">
      <c r="I1715" s="172"/>
    </row>
    <row r="1716" spans="9:9">
      <c r="I1716" s="172"/>
    </row>
    <row r="1717" spans="9:9">
      <c r="I1717" s="172"/>
    </row>
    <row r="1718" spans="9:9">
      <c r="I1718" s="172"/>
    </row>
    <row r="1719" spans="9:9">
      <c r="I1719" s="172"/>
    </row>
    <row r="1720" spans="9:9">
      <c r="I1720" s="172"/>
    </row>
    <row r="1721" spans="9:9">
      <c r="I1721" s="172"/>
    </row>
    <row r="1722" spans="9:9">
      <c r="I1722" s="172"/>
    </row>
    <row r="1723" spans="9:9">
      <c r="I1723" s="172"/>
    </row>
    <row r="1724" spans="9:9">
      <c r="I1724" s="172"/>
    </row>
    <row r="1725" spans="9:9">
      <c r="I1725" s="172"/>
    </row>
    <row r="1726" spans="9:9">
      <c r="I1726" s="172"/>
    </row>
    <row r="1727" spans="9:9">
      <c r="I1727" s="172"/>
    </row>
    <row r="1728" spans="9:9">
      <c r="I1728" s="172"/>
    </row>
    <row r="1729" spans="9:9">
      <c r="I1729" s="172"/>
    </row>
    <row r="1730" spans="9:9">
      <c r="I1730" s="172"/>
    </row>
    <row r="1731" spans="9:9">
      <c r="I1731" s="172"/>
    </row>
    <row r="1732" spans="9:9">
      <c r="I1732" s="172"/>
    </row>
    <row r="1733" spans="9:9">
      <c r="I1733" s="172"/>
    </row>
    <row r="1734" spans="9:9">
      <c r="I1734" s="172"/>
    </row>
    <row r="1735" spans="9:9">
      <c r="I1735" s="172"/>
    </row>
    <row r="1736" spans="9:9">
      <c r="I1736" s="172"/>
    </row>
    <row r="1737" spans="9:9">
      <c r="I1737" s="172"/>
    </row>
    <row r="1738" spans="9:9">
      <c r="I1738" s="172"/>
    </row>
    <row r="1739" spans="9:9">
      <c r="I1739" s="172"/>
    </row>
    <row r="1740" spans="9:9">
      <c r="I1740" s="172"/>
    </row>
    <row r="1741" spans="9:9">
      <c r="I1741" s="172"/>
    </row>
    <row r="1742" spans="9:9">
      <c r="I1742" s="172"/>
    </row>
    <row r="1743" spans="9:9">
      <c r="I1743" s="172"/>
    </row>
    <row r="1744" spans="9:9">
      <c r="I1744" s="172"/>
    </row>
    <row r="1745" spans="9:9">
      <c r="I1745" s="172"/>
    </row>
    <row r="1746" spans="9:9">
      <c r="I1746" s="172"/>
    </row>
    <row r="1747" spans="9:9">
      <c r="I1747" s="172"/>
    </row>
    <row r="1748" spans="9:9">
      <c r="I1748" s="172"/>
    </row>
    <row r="1749" spans="9:9">
      <c r="I1749" s="172"/>
    </row>
    <row r="1750" spans="9:9">
      <c r="I1750" s="172"/>
    </row>
    <row r="1751" spans="9:9">
      <c r="I1751" s="172"/>
    </row>
    <row r="1752" spans="9:9">
      <c r="I1752" s="172"/>
    </row>
    <row r="1753" spans="9:9">
      <c r="I1753" s="172"/>
    </row>
    <row r="1754" spans="9:9">
      <c r="I1754" s="172"/>
    </row>
    <row r="1755" spans="9:9">
      <c r="I1755" s="172"/>
    </row>
    <row r="1756" spans="9:9">
      <c r="I1756" s="172"/>
    </row>
    <row r="1757" spans="9:9">
      <c r="I1757" s="172"/>
    </row>
    <row r="1758" spans="9:9">
      <c r="I1758" s="172"/>
    </row>
    <row r="1759" spans="9:9">
      <c r="I1759" s="172"/>
    </row>
    <row r="1760" spans="9:9">
      <c r="I1760" s="172"/>
    </row>
    <row r="1761" spans="9:9">
      <c r="I1761" s="172"/>
    </row>
    <row r="1762" spans="9:9">
      <c r="I1762" s="172"/>
    </row>
    <row r="1763" spans="9:9">
      <c r="I1763" s="172"/>
    </row>
    <row r="1764" spans="9:9">
      <c r="I1764" s="172"/>
    </row>
    <row r="1765" spans="9:9">
      <c r="I1765" s="172"/>
    </row>
    <row r="1766" spans="9:9">
      <c r="I1766" s="172"/>
    </row>
    <row r="1767" spans="9:9">
      <c r="I1767" s="172"/>
    </row>
    <row r="1768" spans="9:9">
      <c r="I1768" s="172"/>
    </row>
    <row r="1769" spans="9:9">
      <c r="I1769" s="172"/>
    </row>
    <row r="1770" spans="9:9">
      <c r="I1770" s="172"/>
    </row>
    <row r="1771" spans="9:9">
      <c r="I1771" s="172"/>
    </row>
    <row r="1772" spans="9:9">
      <c r="I1772" s="172"/>
    </row>
    <row r="1773" spans="9:9">
      <c r="I1773" s="172"/>
    </row>
    <row r="1774" spans="9:9">
      <c r="I1774" s="172"/>
    </row>
    <row r="1775" spans="9:9">
      <c r="I1775" s="172"/>
    </row>
    <row r="1776" spans="9:9">
      <c r="I1776" s="172"/>
    </row>
    <row r="1777" spans="9:9">
      <c r="I1777" s="172"/>
    </row>
    <row r="1778" spans="9:9">
      <c r="I1778" s="172"/>
    </row>
    <row r="1779" spans="9:9">
      <c r="I1779" s="172"/>
    </row>
    <row r="1780" spans="9:9">
      <c r="I1780" s="172"/>
    </row>
    <row r="1781" spans="9:9">
      <c r="I1781" s="172"/>
    </row>
    <row r="1782" spans="9:9">
      <c r="I1782" s="172"/>
    </row>
    <row r="1783" spans="9:9">
      <c r="I1783" s="172"/>
    </row>
    <row r="1784" spans="9:9">
      <c r="I1784" s="172"/>
    </row>
    <row r="1785" spans="9:9">
      <c r="I1785" s="172"/>
    </row>
    <row r="1786" spans="9:9">
      <c r="I1786" s="172"/>
    </row>
    <row r="1787" spans="9:9">
      <c r="I1787" s="172"/>
    </row>
    <row r="1788" spans="9:9">
      <c r="I1788" s="172"/>
    </row>
    <row r="1789" spans="9:9">
      <c r="I1789" s="172"/>
    </row>
    <row r="1790" spans="9:9">
      <c r="I1790" s="172"/>
    </row>
    <row r="1791" spans="9:9">
      <c r="I1791" s="172"/>
    </row>
    <row r="1792" spans="9:9">
      <c r="I1792" s="172"/>
    </row>
    <row r="1793" spans="9:9">
      <c r="I1793" s="172"/>
    </row>
    <row r="1794" spans="9:9">
      <c r="I1794" s="172"/>
    </row>
    <row r="1795" spans="9:9">
      <c r="I1795" s="172"/>
    </row>
    <row r="1796" spans="9:9">
      <c r="I1796" s="172"/>
    </row>
    <row r="1797" spans="9:9">
      <c r="I1797" s="172"/>
    </row>
    <row r="1798" spans="9:9">
      <c r="I1798" s="172"/>
    </row>
    <row r="1799" spans="9:9">
      <c r="I1799" s="172"/>
    </row>
    <row r="1800" spans="9:9">
      <c r="I1800" s="172"/>
    </row>
    <row r="1801" spans="9:9">
      <c r="I1801" s="172"/>
    </row>
    <row r="1802" spans="9:9">
      <c r="I1802" s="172"/>
    </row>
    <row r="1803" spans="9:9">
      <c r="I1803" s="172"/>
    </row>
    <row r="1804" spans="9:9">
      <c r="I1804" s="172"/>
    </row>
    <row r="1805" spans="9:9">
      <c r="I1805" s="172"/>
    </row>
    <row r="1806" spans="9:9">
      <c r="I1806" s="172"/>
    </row>
    <row r="1807" spans="9:9">
      <c r="I1807" s="172"/>
    </row>
    <row r="1808" spans="9:9">
      <c r="I1808" s="172"/>
    </row>
    <row r="1809" spans="9:9">
      <c r="I1809" s="172"/>
    </row>
    <row r="1810" spans="9:9">
      <c r="I1810" s="172"/>
    </row>
    <row r="1811" spans="9:9">
      <c r="I1811" s="172"/>
    </row>
    <row r="1812" spans="9:9">
      <c r="I1812" s="172"/>
    </row>
    <row r="1813" spans="9:9">
      <c r="I1813" s="172"/>
    </row>
    <row r="1814" spans="9:9">
      <c r="I1814" s="172"/>
    </row>
    <row r="1815" spans="9:9">
      <c r="I1815" s="172"/>
    </row>
    <row r="1816" spans="9:9">
      <c r="I1816" s="172"/>
    </row>
    <row r="1817" spans="9:9">
      <c r="I1817" s="172"/>
    </row>
    <row r="1818" spans="9:9">
      <c r="I1818" s="172"/>
    </row>
    <row r="1819" spans="9:9">
      <c r="I1819" s="172"/>
    </row>
    <row r="1820" spans="9:9">
      <c r="I1820" s="172"/>
    </row>
    <row r="1821" spans="9:9">
      <c r="I1821" s="172"/>
    </row>
    <row r="1822" spans="9:9">
      <c r="I1822" s="172"/>
    </row>
    <row r="1823" spans="9:9">
      <c r="I1823" s="172"/>
    </row>
    <row r="1824" spans="9:9">
      <c r="I1824" s="172"/>
    </row>
    <row r="1825" spans="9:9">
      <c r="I1825" s="172"/>
    </row>
    <row r="1826" spans="9:9">
      <c r="I1826" s="172"/>
    </row>
    <row r="1827" spans="9:9">
      <c r="I1827" s="172"/>
    </row>
    <row r="1828" spans="9:9">
      <c r="I1828" s="172"/>
    </row>
    <row r="1829" spans="9:9">
      <c r="I1829" s="172"/>
    </row>
    <row r="1830" spans="9:9">
      <c r="I1830" s="172"/>
    </row>
    <row r="1831" spans="9:9">
      <c r="I1831" s="172"/>
    </row>
    <row r="1832" spans="9:9">
      <c r="I1832" s="172"/>
    </row>
    <row r="1833" spans="9:9">
      <c r="I1833" s="172"/>
    </row>
    <row r="1834" spans="9:9">
      <c r="I1834" s="172"/>
    </row>
    <row r="1835" spans="9:9">
      <c r="I1835" s="172"/>
    </row>
    <row r="1836" spans="9:9">
      <c r="I1836" s="172"/>
    </row>
    <row r="1837" spans="9:9">
      <c r="I1837" s="172"/>
    </row>
    <row r="1838" spans="9:9">
      <c r="I1838" s="172"/>
    </row>
    <row r="1839" spans="9:9">
      <c r="I1839" s="172"/>
    </row>
    <row r="1840" spans="9:9">
      <c r="I1840" s="172"/>
    </row>
    <row r="1841" spans="9:9">
      <c r="I1841" s="172"/>
    </row>
    <row r="1842" spans="9:9">
      <c r="I1842" s="172"/>
    </row>
    <row r="1843" spans="9:9">
      <c r="I1843" s="172"/>
    </row>
    <row r="1844" spans="9:9">
      <c r="I1844" s="172"/>
    </row>
    <row r="1845" spans="9:9">
      <c r="I1845" s="172"/>
    </row>
    <row r="1846" spans="9:9">
      <c r="I1846" s="172"/>
    </row>
    <row r="1847" spans="9:9">
      <c r="I1847" s="172"/>
    </row>
    <row r="1848" spans="9:9">
      <c r="I1848" s="172"/>
    </row>
    <row r="1849" spans="9:9">
      <c r="I1849" s="172"/>
    </row>
    <row r="1850" spans="9:9">
      <c r="I1850" s="172"/>
    </row>
    <row r="1851" spans="9:9">
      <c r="I1851" s="172"/>
    </row>
    <row r="1852" spans="9:9">
      <c r="I1852" s="172"/>
    </row>
    <row r="1853" spans="9:9">
      <c r="I1853" s="172"/>
    </row>
    <row r="1854" spans="9:9">
      <c r="I1854" s="172"/>
    </row>
    <row r="1855" spans="9:9">
      <c r="I1855" s="172"/>
    </row>
    <row r="1856" spans="9:9">
      <c r="I1856" s="172"/>
    </row>
    <row r="1857" spans="9:9">
      <c r="I1857" s="172"/>
    </row>
    <row r="1858" spans="9:9">
      <c r="I1858" s="172"/>
    </row>
    <row r="1859" spans="9:9">
      <c r="I1859" s="172"/>
    </row>
    <row r="1860" spans="9:9">
      <c r="I1860" s="172"/>
    </row>
    <row r="1861" spans="9:9">
      <c r="I1861" s="172"/>
    </row>
    <row r="1862" spans="9:9">
      <c r="I1862" s="172"/>
    </row>
    <row r="1863" spans="9:9">
      <c r="I1863" s="172"/>
    </row>
    <row r="1864" spans="9:9">
      <c r="I1864" s="172"/>
    </row>
    <row r="1865" spans="9:9">
      <c r="I1865" s="172"/>
    </row>
    <row r="1866" spans="9:9">
      <c r="I1866" s="172"/>
    </row>
    <row r="1867" spans="9:9">
      <c r="I1867" s="172"/>
    </row>
    <row r="1868" spans="9:9">
      <c r="I1868" s="172"/>
    </row>
    <row r="1869" spans="9:9">
      <c r="I1869" s="172"/>
    </row>
    <row r="1870" spans="9:9">
      <c r="I1870" s="172"/>
    </row>
    <row r="1871" spans="9:9">
      <c r="I1871" s="172"/>
    </row>
    <row r="1872" spans="9:9">
      <c r="I1872" s="172"/>
    </row>
    <row r="1873" spans="9:9">
      <c r="I1873" s="172"/>
    </row>
    <row r="1874" spans="9:9">
      <c r="I1874" s="172"/>
    </row>
    <row r="1875" spans="9:9">
      <c r="I1875" s="172"/>
    </row>
    <row r="1876" spans="9:9">
      <c r="I1876" s="172"/>
    </row>
    <row r="1877" spans="9:9">
      <c r="I1877" s="172"/>
    </row>
    <row r="1878" spans="9:9">
      <c r="I1878" s="172"/>
    </row>
    <row r="1879" spans="9:9">
      <c r="I1879" s="172"/>
    </row>
    <row r="1880" spans="9:9">
      <c r="I1880" s="172"/>
    </row>
    <row r="1881" spans="9:9">
      <c r="I1881" s="172"/>
    </row>
    <row r="1882" spans="9:9">
      <c r="I1882" s="172"/>
    </row>
    <row r="1883" spans="9:9">
      <c r="I1883" s="172"/>
    </row>
    <row r="1884" spans="9:9">
      <c r="I1884" s="172"/>
    </row>
    <row r="1885" spans="9:9">
      <c r="I1885" s="172"/>
    </row>
    <row r="1886" spans="9:9">
      <c r="I1886" s="172"/>
    </row>
    <row r="1887" spans="9:9">
      <c r="I1887" s="172"/>
    </row>
    <row r="1888" spans="9:9">
      <c r="I1888" s="172"/>
    </row>
    <row r="1889" spans="9:9">
      <c r="I1889" s="172"/>
    </row>
    <row r="1890" spans="9:9">
      <c r="I1890" s="172"/>
    </row>
    <row r="1891" spans="9:9">
      <c r="I1891" s="172"/>
    </row>
    <row r="1892" spans="9:9">
      <c r="I1892" s="172"/>
    </row>
    <row r="1893" spans="9:9">
      <c r="I1893" s="172"/>
    </row>
    <row r="1894" spans="9:9">
      <c r="I1894" s="172"/>
    </row>
    <row r="1895" spans="9:9">
      <c r="I1895" s="172"/>
    </row>
    <row r="1896" spans="9:9">
      <c r="I1896" s="172"/>
    </row>
    <row r="1897" spans="9:9">
      <c r="I1897" s="172"/>
    </row>
    <row r="1898" spans="9:9">
      <c r="I1898" s="172"/>
    </row>
    <row r="1899" spans="9:9">
      <c r="I1899" s="172"/>
    </row>
    <row r="1900" spans="9:9">
      <c r="I1900" s="172"/>
    </row>
    <row r="1901" spans="9:9">
      <c r="I1901" s="172"/>
    </row>
    <row r="1902" spans="9:9">
      <c r="I1902" s="172"/>
    </row>
    <row r="1903" spans="9:9">
      <c r="I1903" s="172"/>
    </row>
    <row r="1904" spans="9:9">
      <c r="I1904" s="172"/>
    </row>
    <row r="1905" spans="9:9">
      <c r="I1905" s="172"/>
    </row>
    <row r="1906" spans="9:9">
      <c r="I1906" s="172"/>
    </row>
    <row r="1907" spans="9:9">
      <c r="I1907" s="172"/>
    </row>
    <row r="1908" spans="9:9">
      <c r="I1908" s="172"/>
    </row>
    <row r="1909" spans="9:9">
      <c r="I1909" s="172"/>
    </row>
    <row r="1910" spans="9:9">
      <c r="I1910" s="172"/>
    </row>
    <row r="1911" spans="9:9">
      <c r="I1911" s="172"/>
    </row>
    <row r="1912" spans="9:9">
      <c r="I1912" s="172"/>
    </row>
    <row r="1913" spans="9:9">
      <c r="I1913" s="172"/>
    </row>
    <row r="1914" spans="9:9">
      <c r="I1914" s="172"/>
    </row>
    <row r="1915" spans="9:9">
      <c r="I1915" s="172"/>
    </row>
    <row r="1916" spans="9:9">
      <c r="I1916" s="172"/>
    </row>
    <row r="1917" spans="9:9">
      <c r="I1917" s="172"/>
    </row>
    <row r="1918" spans="9:9">
      <c r="I1918" s="172"/>
    </row>
    <row r="1919" spans="9:9">
      <c r="I1919" s="172"/>
    </row>
    <row r="1920" spans="9:9">
      <c r="I1920" s="172"/>
    </row>
    <row r="1921" spans="9:9">
      <c r="I1921" s="172"/>
    </row>
    <row r="1922" spans="9:9">
      <c r="I1922" s="172"/>
    </row>
    <row r="1923" spans="9:9">
      <c r="I1923" s="172"/>
    </row>
    <row r="1924" spans="9:9">
      <c r="I1924" s="172"/>
    </row>
    <row r="1925" spans="9:9">
      <c r="I1925" s="172"/>
    </row>
    <row r="1926" spans="9:9">
      <c r="I1926" s="172"/>
    </row>
    <row r="1927" spans="9:9">
      <c r="I1927" s="172"/>
    </row>
    <row r="1928" spans="9:9">
      <c r="I1928" s="172"/>
    </row>
    <row r="1929" spans="9:9">
      <c r="I1929" s="172"/>
    </row>
    <row r="1930" spans="9:9">
      <c r="I1930" s="172"/>
    </row>
    <row r="1931" spans="9:9">
      <c r="I1931" s="172"/>
    </row>
    <row r="1932" spans="9:9">
      <c r="I1932" s="172"/>
    </row>
    <row r="1933" spans="9:9">
      <c r="I1933" s="172"/>
    </row>
    <row r="1934" spans="9:9">
      <c r="I1934" s="172"/>
    </row>
    <row r="1935" spans="9:9">
      <c r="I1935" s="172"/>
    </row>
    <row r="1936" spans="9:9">
      <c r="I1936" s="172"/>
    </row>
    <row r="1937" spans="9:9">
      <c r="I1937" s="172"/>
    </row>
    <row r="1938" spans="9:9">
      <c r="I1938" s="172"/>
    </row>
    <row r="1939" spans="9:9">
      <c r="I1939" s="172"/>
    </row>
    <row r="1940" spans="9:9">
      <c r="I1940" s="172"/>
    </row>
    <row r="1941" spans="9:9">
      <c r="I1941" s="172"/>
    </row>
    <row r="1942" spans="9:9">
      <c r="I1942" s="172"/>
    </row>
    <row r="1943" spans="9:9">
      <c r="I1943" s="172"/>
    </row>
    <row r="1944" spans="9:9">
      <c r="I1944" s="172"/>
    </row>
    <row r="1945" spans="9:9">
      <c r="I1945" s="172"/>
    </row>
    <row r="1946" spans="9:9">
      <c r="I1946" s="172"/>
    </row>
    <row r="1947" spans="9:9">
      <c r="I1947" s="172"/>
    </row>
    <row r="1948" spans="9:9">
      <c r="I1948" s="172"/>
    </row>
    <row r="1949" spans="9:9">
      <c r="I1949" s="172"/>
    </row>
    <row r="1950" spans="9:9">
      <c r="I1950" s="172"/>
    </row>
    <row r="1951" spans="9:9">
      <c r="I1951" s="172"/>
    </row>
    <row r="1952" spans="9:9">
      <c r="I1952" s="172"/>
    </row>
    <row r="1953" spans="9:9">
      <c r="I1953" s="172"/>
    </row>
    <row r="1954" spans="9:9">
      <c r="I1954" s="172"/>
    </row>
    <row r="1955" spans="9:9">
      <c r="I1955" s="172"/>
    </row>
    <row r="1956" spans="9:9">
      <c r="I1956" s="172"/>
    </row>
    <row r="1957" spans="9:9">
      <c r="I1957" s="172"/>
    </row>
    <row r="1958" spans="9:9">
      <c r="I1958" s="172"/>
    </row>
    <row r="1959" spans="9:9">
      <c r="I1959" s="172"/>
    </row>
    <row r="1960" spans="9:9">
      <c r="I1960" s="172"/>
    </row>
    <row r="1961" spans="9:9">
      <c r="I1961" s="172"/>
    </row>
    <row r="1962" spans="9:9">
      <c r="I1962" s="172"/>
    </row>
    <row r="1963" spans="9:9">
      <c r="I1963" s="172"/>
    </row>
    <row r="1964" spans="9:9">
      <c r="I1964" s="172"/>
    </row>
    <row r="1965" spans="9:9">
      <c r="I1965" s="172"/>
    </row>
    <row r="1966" spans="9:9">
      <c r="I1966" s="172"/>
    </row>
    <row r="1967" spans="9:9">
      <c r="I1967" s="172"/>
    </row>
    <row r="1968" spans="9:9">
      <c r="I1968" s="172"/>
    </row>
    <row r="1969" spans="9:9">
      <c r="I1969" s="172"/>
    </row>
    <row r="1970" spans="9:9">
      <c r="I1970" s="172"/>
    </row>
    <row r="1971" spans="9:9">
      <c r="I1971" s="172"/>
    </row>
    <row r="1972" spans="9:9">
      <c r="I1972" s="172"/>
    </row>
    <row r="1973" spans="9:9">
      <c r="I1973" s="172"/>
    </row>
    <row r="1974" spans="9:9">
      <c r="I1974" s="172"/>
    </row>
    <row r="1975" spans="9:9">
      <c r="I1975" s="172"/>
    </row>
    <row r="1976" spans="9:9">
      <c r="I1976" s="172"/>
    </row>
    <row r="1977" spans="9:9">
      <c r="I1977" s="172"/>
    </row>
    <row r="1978" spans="9:9">
      <c r="I1978" s="172"/>
    </row>
    <row r="1979" spans="9:9">
      <c r="I1979" s="172"/>
    </row>
    <row r="1980" spans="9:9">
      <c r="I1980" s="172"/>
    </row>
    <row r="1981" spans="9:9">
      <c r="I1981" s="172"/>
    </row>
    <row r="1982" spans="9:9">
      <c r="I1982" s="172"/>
    </row>
    <row r="1983" spans="9:9">
      <c r="I1983" s="172"/>
    </row>
    <row r="1984" spans="9:9">
      <c r="I1984" s="172"/>
    </row>
    <row r="1985" spans="9:9">
      <c r="I1985" s="172"/>
    </row>
    <row r="1986" spans="9:9">
      <c r="I1986" s="172"/>
    </row>
    <row r="1987" spans="9:9">
      <c r="I1987" s="172"/>
    </row>
    <row r="1988" spans="9:9">
      <c r="I1988" s="172"/>
    </row>
    <row r="1989" spans="9:9">
      <c r="I1989" s="172"/>
    </row>
    <row r="1990" spans="9:9">
      <c r="I1990" s="172"/>
    </row>
    <row r="1991" spans="9:9">
      <c r="I1991" s="172"/>
    </row>
    <row r="1992" spans="9:9">
      <c r="I1992" s="172"/>
    </row>
    <row r="1993" spans="9:9">
      <c r="I1993" s="172"/>
    </row>
    <row r="1994" spans="9:9">
      <c r="I1994" s="172"/>
    </row>
    <row r="1995" spans="9:9">
      <c r="I1995" s="172"/>
    </row>
    <row r="1996" spans="9:9">
      <c r="I1996" s="172"/>
    </row>
    <row r="1997" spans="9:9">
      <c r="I1997" s="172"/>
    </row>
    <row r="1998" spans="9:9">
      <c r="I1998" s="172"/>
    </row>
    <row r="1999" spans="9:9">
      <c r="I1999" s="172"/>
    </row>
    <row r="2000" spans="9:9">
      <c r="I2000" s="172"/>
    </row>
    <row r="2001" spans="9:9">
      <c r="I2001" s="172"/>
    </row>
    <row r="2002" spans="9:9">
      <c r="I2002" s="172"/>
    </row>
    <row r="2003" spans="9:9">
      <c r="I2003" s="172"/>
    </row>
    <row r="2004" spans="9:9">
      <c r="I2004" s="172"/>
    </row>
    <row r="2005" spans="9:9">
      <c r="I2005" s="172"/>
    </row>
    <row r="2006" spans="9:9">
      <c r="I2006" s="172"/>
    </row>
    <row r="2007" spans="9:9">
      <c r="I2007" s="172"/>
    </row>
    <row r="2008" spans="9:9">
      <c r="I2008" s="172"/>
    </row>
    <row r="2009" spans="9:9">
      <c r="I2009" s="172"/>
    </row>
    <row r="2010" spans="9:9">
      <c r="I2010" s="172"/>
    </row>
    <row r="2011" spans="9:9">
      <c r="I2011" s="172"/>
    </row>
    <row r="2012" spans="9:9">
      <c r="I2012" s="172"/>
    </row>
    <row r="2013" spans="9:9">
      <c r="I2013" s="172"/>
    </row>
    <row r="2014" spans="9:9">
      <c r="I2014" s="172"/>
    </row>
    <row r="2015" spans="9:9">
      <c r="I2015" s="172"/>
    </row>
    <row r="2016" spans="9:9">
      <c r="I2016" s="172"/>
    </row>
    <row r="2017" spans="9:9">
      <c r="I2017" s="172"/>
    </row>
    <row r="2018" spans="9:9">
      <c r="I2018" s="172"/>
    </row>
    <row r="2019" spans="9:9">
      <c r="I2019" s="172"/>
    </row>
    <row r="2020" spans="9:9">
      <c r="I2020" s="172"/>
    </row>
    <row r="2021" spans="9:9">
      <c r="I2021" s="172"/>
    </row>
    <row r="2022" spans="9:9">
      <c r="I2022" s="172"/>
    </row>
    <row r="2023" spans="9:9">
      <c r="I2023" s="172"/>
    </row>
    <row r="2024" spans="9:9">
      <c r="I2024" s="172"/>
    </row>
    <row r="2025" spans="9:9">
      <c r="I2025" s="172"/>
    </row>
    <row r="2026" spans="9:9">
      <c r="I2026" s="172"/>
    </row>
    <row r="2027" spans="9:9">
      <c r="I2027" s="172"/>
    </row>
    <row r="2028" spans="9:9">
      <c r="I2028" s="172"/>
    </row>
    <row r="2029" spans="9:9">
      <c r="I2029" s="172"/>
    </row>
    <row r="2030" spans="9:9">
      <c r="I2030" s="172"/>
    </row>
    <row r="2031" spans="9:9">
      <c r="I2031" s="172"/>
    </row>
    <row r="2032" spans="9:9">
      <c r="I2032" s="172"/>
    </row>
    <row r="2033" spans="9:9">
      <c r="I2033" s="172"/>
    </row>
    <row r="2034" spans="9:9">
      <c r="I2034" s="172"/>
    </row>
    <row r="2035" spans="9:9">
      <c r="I2035" s="172"/>
    </row>
    <row r="2036" spans="9:9">
      <c r="I2036" s="172"/>
    </row>
    <row r="2037" spans="9:9">
      <c r="I2037" s="172"/>
    </row>
    <row r="2038" spans="9:9">
      <c r="I2038" s="172"/>
    </row>
    <row r="2039" spans="9:9">
      <c r="I2039" s="172"/>
    </row>
    <row r="2040" spans="9:9">
      <c r="I2040" s="172"/>
    </row>
    <row r="2041" spans="9:9">
      <c r="I2041" s="172"/>
    </row>
    <row r="2042" spans="9:9">
      <c r="I2042" s="172"/>
    </row>
    <row r="2043" spans="9:9">
      <c r="I2043" s="172"/>
    </row>
    <row r="2044" spans="9:9">
      <c r="I2044" s="172"/>
    </row>
    <row r="2045" spans="9:9">
      <c r="I2045" s="172"/>
    </row>
    <row r="2046" spans="9:9">
      <c r="I2046" s="172"/>
    </row>
    <row r="2047" spans="9:9">
      <c r="I2047" s="172"/>
    </row>
    <row r="2048" spans="9:9">
      <c r="I2048" s="172"/>
    </row>
    <row r="2049" spans="9:9">
      <c r="I2049" s="172"/>
    </row>
    <row r="2050" spans="9:9">
      <c r="I2050" s="172"/>
    </row>
    <row r="2051" spans="9:9">
      <c r="I2051" s="172"/>
    </row>
    <row r="2052" spans="9:9">
      <c r="I2052" s="172"/>
    </row>
    <row r="2053" spans="9:9">
      <c r="I2053" s="172"/>
    </row>
    <row r="2054" spans="9:9">
      <c r="I2054" s="172"/>
    </row>
    <row r="2055" spans="9:9">
      <c r="I2055" s="172"/>
    </row>
    <row r="2056" spans="9:9">
      <c r="I2056" s="172"/>
    </row>
    <row r="2057" spans="9:9">
      <c r="I2057" s="172"/>
    </row>
    <row r="2058" spans="9:9">
      <c r="I2058" s="172"/>
    </row>
    <row r="2059" spans="9:9">
      <c r="I2059" s="172"/>
    </row>
    <row r="2060" spans="9:9">
      <c r="I2060" s="172"/>
    </row>
    <row r="2061" spans="9:9">
      <c r="I2061" s="172"/>
    </row>
    <row r="2062" spans="9:9">
      <c r="I2062" s="172"/>
    </row>
    <row r="2063" spans="9:9">
      <c r="I2063" s="172"/>
    </row>
    <row r="2064" spans="9:9">
      <c r="I2064" s="172"/>
    </row>
    <row r="2065" spans="9:9">
      <c r="I2065" s="172"/>
    </row>
    <row r="2066" spans="9:9">
      <c r="I2066" s="172"/>
    </row>
    <row r="2067" spans="9:9">
      <c r="I2067" s="172"/>
    </row>
    <row r="2068" spans="9:9">
      <c r="I2068" s="172"/>
    </row>
    <row r="2069" spans="9:9">
      <c r="I2069" s="172"/>
    </row>
    <row r="2070" spans="9:9">
      <c r="I2070" s="172"/>
    </row>
    <row r="2071" spans="9:9">
      <c r="I2071" s="172"/>
    </row>
    <row r="2072" spans="9:9">
      <c r="I2072" s="172"/>
    </row>
    <row r="2073" spans="9:9">
      <c r="I2073" s="172"/>
    </row>
    <row r="2074" spans="9:9">
      <c r="I2074" s="172"/>
    </row>
    <row r="2075" spans="9:9">
      <c r="I2075" s="172"/>
    </row>
    <row r="2076" spans="9:9">
      <c r="I2076" s="172"/>
    </row>
    <row r="2077" spans="9:9">
      <c r="I2077" s="172"/>
    </row>
    <row r="2078" spans="9:9">
      <c r="I2078" s="172"/>
    </row>
    <row r="2079" spans="9:9">
      <c r="I2079" s="172"/>
    </row>
    <row r="2080" spans="9:9">
      <c r="I2080" s="172"/>
    </row>
    <row r="2081" spans="9:9">
      <c r="I2081" s="172"/>
    </row>
    <row r="2082" spans="9:9">
      <c r="I2082" s="172"/>
    </row>
    <row r="2083" spans="9:9">
      <c r="I2083" s="172"/>
    </row>
    <row r="2084" spans="9:9">
      <c r="I2084" s="172"/>
    </row>
    <row r="2085" spans="9:9">
      <c r="I2085" s="172"/>
    </row>
    <row r="2086" spans="9:9">
      <c r="I2086" s="172"/>
    </row>
    <row r="2087" spans="9:9">
      <c r="I2087" s="172"/>
    </row>
    <row r="2088" spans="9:9">
      <c r="I2088" s="172"/>
    </row>
    <row r="2089" spans="9:9">
      <c r="I2089" s="172"/>
    </row>
    <row r="2090" spans="9:9">
      <c r="I2090" s="172"/>
    </row>
    <row r="2091" spans="9:9">
      <c r="I2091" s="172"/>
    </row>
    <row r="2092" spans="9:9">
      <c r="I2092" s="172"/>
    </row>
    <row r="2093" spans="9:9">
      <c r="I2093" s="172"/>
    </row>
    <row r="2094" spans="9:9">
      <c r="I2094" s="172"/>
    </row>
    <row r="2095" spans="9:9">
      <c r="I2095" s="172"/>
    </row>
    <row r="2096" spans="9:9">
      <c r="I2096" s="172"/>
    </row>
    <row r="2097" spans="9:9">
      <c r="I2097" s="172"/>
    </row>
    <row r="2098" spans="9:9">
      <c r="I2098" s="172"/>
    </row>
    <row r="2099" spans="9:9">
      <c r="I2099" s="172"/>
    </row>
    <row r="2100" spans="9:9">
      <c r="I2100" s="172"/>
    </row>
    <row r="2101" spans="9:9">
      <c r="I2101" s="172"/>
    </row>
    <row r="2102" spans="9:9">
      <c r="I2102" s="172"/>
    </row>
    <row r="2103" spans="9:9">
      <c r="I2103" s="172"/>
    </row>
    <row r="2104" spans="9:9">
      <c r="I2104" s="172"/>
    </row>
    <row r="2105" spans="9:9">
      <c r="I2105" s="172"/>
    </row>
    <row r="2106" spans="9:9">
      <c r="I2106" s="172"/>
    </row>
    <row r="2107" spans="9:9">
      <c r="I2107" s="172"/>
    </row>
    <row r="2108" spans="9:9">
      <c r="I2108" s="172"/>
    </row>
    <row r="2109" spans="9:9">
      <c r="I2109" s="172"/>
    </row>
    <row r="2110" spans="9:9">
      <c r="I2110" s="172"/>
    </row>
    <row r="2111" spans="9:9">
      <c r="I2111" s="172"/>
    </row>
    <row r="2112" spans="9:9">
      <c r="I2112" s="172"/>
    </row>
    <row r="2113" spans="9:9">
      <c r="I2113" s="172"/>
    </row>
    <row r="2114" spans="9:9">
      <c r="I2114" s="172"/>
    </row>
    <row r="2115" spans="9:9">
      <c r="I2115" s="172"/>
    </row>
    <row r="2116" spans="9:9">
      <c r="I2116" s="172"/>
    </row>
    <row r="2117" spans="9:9">
      <c r="I2117" s="172"/>
    </row>
    <row r="2118" spans="9:9">
      <c r="I2118" s="172"/>
    </row>
    <row r="2119" spans="9:9">
      <c r="I2119" s="172"/>
    </row>
    <row r="2120" spans="9:9">
      <c r="I2120" s="172"/>
    </row>
    <row r="2121" spans="9:9">
      <c r="I2121" s="172"/>
    </row>
    <row r="2122" spans="9:9">
      <c r="I2122" s="172"/>
    </row>
    <row r="2123" spans="9:9">
      <c r="I2123" s="172"/>
    </row>
    <row r="2124" spans="9:9">
      <c r="I2124" s="172"/>
    </row>
    <row r="2125" spans="9:9">
      <c r="I2125" s="172"/>
    </row>
    <row r="2126" spans="9:9">
      <c r="I2126" s="172"/>
    </row>
    <row r="2127" spans="9:9">
      <c r="I2127" s="172"/>
    </row>
    <row r="2128" spans="9:9">
      <c r="I2128" s="172"/>
    </row>
    <row r="2129" spans="9:9">
      <c r="I2129" s="172"/>
    </row>
    <row r="2130" spans="9:9">
      <c r="I2130" s="172"/>
    </row>
    <row r="2131" spans="9:9">
      <c r="I2131" s="172"/>
    </row>
    <row r="2132" spans="9:9">
      <c r="I2132" s="172"/>
    </row>
    <row r="2133" spans="9:9">
      <c r="I2133" s="172"/>
    </row>
    <row r="2134" spans="9:9">
      <c r="I2134" s="172"/>
    </row>
    <row r="2135" spans="9:9">
      <c r="I2135" s="172"/>
    </row>
    <row r="2136" spans="9:9">
      <c r="I2136" s="172"/>
    </row>
    <row r="2137" spans="9:9">
      <c r="I2137" s="172"/>
    </row>
    <row r="2138" spans="9:9">
      <c r="I2138" s="172"/>
    </row>
    <row r="2139" spans="9:9">
      <c r="I2139" s="172"/>
    </row>
    <row r="2140" spans="9:9">
      <c r="I2140" s="172"/>
    </row>
    <row r="2141" spans="9:9">
      <c r="I2141" s="172"/>
    </row>
    <row r="2142" spans="9:9">
      <c r="I2142" s="172"/>
    </row>
    <row r="2143" spans="9:9">
      <c r="I2143" s="172"/>
    </row>
    <row r="2144" spans="9:9">
      <c r="I2144" s="172"/>
    </row>
    <row r="2145" spans="9:9">
      <c r="I2145" s="172"/>
    </row>
    <row r="2146" spans="9:9">
      <c r="I2146" s="172"/>
    </row>
    <row r="2147" spans="9:9">
      <c r="I2147" s="172"/>
    </row>
    <row r="2148" spans="9:9">
      <c r="I2148" s="172"/>
    </row>
    <row r="2149" spans="9:9">
      <c r="I2149" s="172"/>
    </row>
    <row r="2150" spans="9:9">
      <c r="I2150" s="172"/>
    </row>
    <row r="2151" spans="9:9">
      <c r="I2151" s="172"/>
    </row>
    <row r="2152" spans="9:9">
      <c r="I2152" s="172"/>
    </row>
    <row r="2153" spans="9:9">
      <c r="I2153" s="172"/>
    </row>
    <row r="2154" spans="9:9">
      <c r="I2154" s="172"/>
    </row>
    <row r="2155" spans="9:9">
      <c r="I2155" s="172"/>
    </row>
    <row r="2156" spans="9:9">
      <c r="I2156" s="172"/>
    </row>
    <row r="2157" spans="9:9">
      <c r="I2157" s="172"/>
    </row>
    <row r="2158" spans="9:9">
      <c r="I2158" s="172"/>
    </row>
    <row r="2159" spans="9:9">
      <c r="I2159" s="172"/>
    </row>
    <row r="2160" spans="9:9">
      <c r="I2160" s="172"/>
    </row>
    <row r="2161" spans="9:9">
      <c r="I2161" s="172"/>
    </row>
    <row r="2162" spans="9:9">
      <c r="I2162" s="172"/>
    </row>
    <row r="2163" spans="9:9">
      <c r="I2163" s="172"/>
    </row>
    <row r="2164" spans="9:9">
      <c r="I2164" s="172"/>
    </row>
    <row r="2165" spans="9:9">
      <c r="I2165" s="172"/>
    </row>
    <row r="2166" spans="9:9">
      <c r="I2166" s="172"/>
    </row>
    <row r="2167" spans="9:9">
      <c r="I2167" s="172"/>
    </row>
    <row r="2168" spans="9:9">
      <c r="I2168" s="172"/>
    </row>
    <row r="2169" spans="9:9">
      <c r="I2169" s="172"/>
    </row>
    <row r="2170" spans="9:9">
      <c r="I2170" s="172"/>
    </row>
    <row r="2171" spans="9:9">
      <c r="I2171" s="172"/>
    </row>
    <row r="2172" spans="9:9">
      <c r="I2172" s="172"/>
    </row>
    <row r="2173" spans="9:9">
      <c r="I2173" s="172"/>
    </row>
    <row r="2174" spans="9:9">
      <c r="I2174" s="172"/>
    </row>
    <row r="2175" spans="9:9">
      <c r="I2175" s="172"/>
    </row>
    <row r="2176" spans="9:9">
      <c r="I2176" s="172"/>
    </row>
    <row r="2177" spans="9:9">
      <c r="I2177" s="172"/>
    </row>
    <row r="2178" spans="9:9">
      <c r="I2178" s="172"/>
    </row>
    <row r="2179" spans="9:9">
      <c r="I2179" s="172"/>
    </row>
    <row r="2180" spans="9:9">
      <c r="I2180" s="172"/>
    </row>
    <row r="2181" spans="9:9">
      <c r="I2181" s="172"/>
    </row>
    <row r="2182" spans="9:9">
      <c r="I2182" s="172"/>
    </row>
    <row r="2183" spans="9:9">
      <c r="I2183" s="172"/>
    </row>
    <row r="2184" spans="9:9">
      <c r="I2184" s="172"/>
    </row>
    <row r="2185" spans="9:9">
      <c r="I2185" s="172"/>
    </row>
    <row r="2186" spans="9:9">
      <c r="I2186" s="172"/>
    </row>
    <row r="2187" spans="9:9">
      <c r="I2187" s="172"/>
    </row>
    <row r="2188" spans="9:9">
      <c r="I2188" s="172"/>
    </row>
    <row r="2189" spans="9:9">
      <c r="I2189" s="172"/>
    </row>
    <row r="2190" spans="9:9">
      <c r="I2190" s="172"/>
    </row>
    <row r="2191" spans="9:9">
      <c r="I2191" s="172"/>
    </row>
    <row r="2192" spans="9:9">
      <c r="I2192" s="172"/>
    </row>
    <row r="2193" spans="9:9">
      <c r="I2193" s="172"/>
    </row>
    <row r="2194" spans="9:9">
      <c r="I2194" s="172"/>
    </row>
    <row r="2195" spans="9:9">
      <c r="I2195" s="172"/>
    </row>
    <row r="2196" spans="9:9">
      <c r="I2196" s="172"/>
    </row>
    <row r="2197" spans="9:9">
      <c r="I2197" s="172"/>
    </row>
    <row r="2198" spans="9:9">
      <c r="I2198" s="172"/>
    </row>
    <row r="2199" spans="9:9">
      <c r="I2199" s="172"/>
    </row>
    <row r="2200" spans="9:9">
      <c r="I2200" s="172"/>
    </row>
    <row r="2201" spans="9:9">
      <c r="I2201" s="172"/>
    </row>
    <row r="2202" spans="9:9">
      <c r="I2202" s="172"/>
    </row>
    <row r="2203" spans="9:9">
      <c r="I2203" s="172"/>
    </row>
    <row r="2204" spans="9:9">
      <c r="I2204" s="172"/>
    </row>
    <row r="2205" spans="9:9">
      <c r="I2205" s="172"/>
    </row>
    <row r="2206" spans="9:9">
      <c r="I2206" s="172"/>
    </row>
    <row r="2207" spans="9:9">
      <c r="I2207" s="172"/>
    </row>
    <row r="2208" spans="9:9">
      <c r="I2208" s="172"/>
    </row>
    <row r="2209" spans="9:9">
      <c r="I2209" s="172"/>
    </row>
    <row r="2210" spans="9:9">
      <c r="I2210" s="172"/>
    </row>
    <row r="2211" spans="9:9">
      <c r="I2211" s="172"/>
    </row>
    <row r="2212" spans="9:9">
      <c r="I2212" s="172"/>
    </row>
    <row r="2213" spans="9:9">
      <c r="I2213" s="172"/>
    </row>
    <row r="2214" spans="9:9">
      <c r="I2214" s="172"/>
    </row>
    <row r="2215" spans="9:9">
      <c r="I2215" s="172"/>
    </row>
    <row r="2216" spans="9:9">
      <c r="I2216" s="172"/>
    </row>
    <row r="2217" spans="9:9">
      <c r="I2217" s="172"/>
    </row>
    <row r="2218" spans="9:9">
      <c r="I2218" s="172"/>
    </row>
    <row r="2219" spans="9:9">
      <c r="I2219" s="172"/>
    </row>
    <row r="2220" spans="9:9">
      <c r="I2220" s="172"/>
    </row>
    <row r="2221" spans="9:9">
      <c r="I2221" s="172"/>
    </row>
    <row r="2222" spans="9:9">
      <c r="I2222" s="172"/>
    </row>
    <row r="2223" spans="9:9">
      <c r="I2223" s="172"/>
    </row>
    <row r="2224" spans="9:9">
      <c r="I2224" s="172"/>
    </row>
    <row r="2225" spans="9:9">
      <c r="I2225" s="172"/>
    </row>
    <row r="2226" spans="9:9">
      <c r="I2226" s="172"/>
    </row>
    <row r="2227" spans="9:9">
      <c r="I2227" s="172"/>
    </row>
    <row r="2228" spans="9:9">
      <c r="I2228" s="172"/>
    </row>
    <row r="2229" spans="9:9">
      <c r="I2229" s="172"/>
    </row>
    <row r="2230" spans="9:9">
      <c r="I2230" s="172"/>
    </row>
    <row r="2231" spans="9:9">
      <c r="I2231" s="172"/>
    </row>
    <row r="2232" spans="9:9">
      <c r="I2232" s="172"/>
    </row>
    <row r="2233" spans="9:9">
      <c r="I2233" s="172"/>
    </row>
    <row r="2234" spans="9:9">
      <c r="I2234" s="172"/>
    </row>
    <row r="2235" spans="9:9">
      <c r="I2235" s="172"/>
    </row>
    <row r="2236" spans="9:9">
      <c r="I2236" s="172"/>
    </row>
    <row r="2237" spans="9:9">
      <c r="I2237" s="172"/>
    </row>
    <row r="2238" spans="9:9">
      <c r="I2238" s="172"/>
    </row>
    <row r="2239" spans="9:9">
      <c r="I2239" s="172"/>
    </row>
    <row r="2240" spans="9:9">
      <c r="I2240" s="172"/>
    </row>
    <row r="2241" spans="9:9">
      <c r="I2241" s="172"/>
    </row>
    <row r="2242" spans="9:9">
      <c r="I2242" s="172"/>
    </row>
    <row r="2243" spans="9:9">
      <c r="I2243" s="172"/>
    </row>
    <row r="2244" spans="9:9">
      <c r="I2244" s="172"/>
    </row>
    <row r="2245" spans="9:9">
      <c r="I2245" s="172"/>
    </row>
    <row r="2246" spans="9:9">
      <c r="I2246" s="172"/>
    </row>
    <row r="2247" spans="9:9">
      <c r="I2247" s="172"/>
    </row>
    <row r="2248" spans="9:9">
      <c r="I2248" s="172"/>
    </row>
    <row r="2249" spans="9:9">
      <c r="I2249" s="172"/>
    </row>
    <row r="2250" spans="9:9">
      <c r="I2250" s="172"/>
    </row>
    <row r="2251" spans="9:9">
      <c r="I2251" s="172"/>
    </row>
    <row r="2252" spans="9:9">
      <c r="I2252" s="172"/>
    </row>
    <row r="2253" spans="9:9">
      <c r="I2253" s="172"/>
    </row>
    <row r="2254" spans="9:9">
      <c r="I2254" s="172"/>
    </row>
    <row r="2255" spans="9:9">
      <c r="I2255" s="172"/>
    </row>
    <row r="2256" spans="9:9">
      <c r="I2256" s="172"/>
    </row>
    <row r="2257" spans="9:9">
      <c r="I2257" s="172"/>
    </row>
    <row r="2258" spans="9:9">
      <c r="I2258" s="172"/>
    </row>
    <row r="2259" spans="9:9">
      <c r="I2259" s="172"/>
    </row>
    <row r="2260" spans="9:9">
      <c r="I2260" s="172"/>
    </row>
    <row r="2261" spans="9:9">
      <c r="I2261" s="172"/>
    </row>
    <row r="2262" spans="9:9">
      <c r="I2262" s="172"/>
    </row>
    <row r="2263" spans="9:9">
      <c r="I2263" s="172"/>
    </row>
    <row r="2264" spans="9:9">
      <c r="I2264" s="172"/>
    </row>
    <row r="2265" spans="9:9">
      <c r="I2265" s="172"/>
    </row>
    <row r="2266" spans="9:9">
      <c r="I2266" s="172"/>
    </row>
    <row r="2267" spans="9:9">
      <c r="I2267" s="172"/>
    </row>
    <row r="2268" spans="9:9">
      <c r="I2268" s="172"/>
    </row>
    <row r="2269" spans="9:9">
      <c r="I2269" s="172"/>
    </row>
    <row r="2270" spans="9:9">
      <c r="I2270" s="172"/>
    </row>
    <row r="2271" spans="9:9">
      <c r="I2271" s="172"/>
    </row>
    <row r="2272" spans="9:9">
      <c r="I2272" s="172"/>
    </row>
    <row r="2273" spans="9:9">
      <c r="I2273" s="172"/>
    </row>
    <row r="2274" spans="9:9">
      <c r="I2274" s="172"/>
    </row>
    <row r="2275" spans="9:9">
      <c r="I2275" s="172"/>
    </row>
    <row r="2276" spans="9:9">
      <c r="I2276" s="172"/>
    </row>
    <row r="2277" spans="9:9">
      <c r="I2277" s="172"/>
    </row>
    <row r="2278" spans="9:9">
      <c r="I2278" s="172"/>
    </row>
    <row r="2279" spans="9:9">
      <c r="I2279" s="172"/>
    </row>
    <row r="2280" spans="9:9">
      <c r="I2280" s="172"/>
    </row>
    <row r="2281" spans="9:9">
      <c r="I2281" s="172"/>
    </row>
    <row r="2282" spans="9:9">
      <c r="I2282" s="172"/>
    </row>
    <row r="2283" spans="9:9">
      <c r="I2283" s="172"/>
    </row>
    <row r="2284" spans="9:9">
      <c r="I2284" s="172"/>
    </row>
    <row r="2285" spans="9:9">
      <c r="I2285" s="172"/>
    </row>
    <row r="2286" spans="9:9">
      <c r="I2286" s="172"/>
    </row>
    <row r="2287" spans="9:9">
      <c r="I2287" s="172"/>
    </row>
    <row r="2288" spans="9:9">
      <c r="I2288" s="172"/>
    </row>
    <row r="2289" spans="9:9">
      <c r="I2289" s="172"/>
    </row>
    <row r="2290" spans="9:9">
      <c r="I2290" s="172"/>
    </row>
    <row r="2291" spans="9:9">
      <c r="I2291" s="172"/>
    </row>
    <row r="2292" spans="9:9">
      <c r="I2292" s="172"/>
    </row>
    <row r="2293" spans="9:9">
      <c r="I2293" s="172"/>
    </row>
    <row r="2294" spans="9:9">
      <c r="I2294" s="172"/>
    </row>
    <row r="2295" spans="9:9">
      <c r="I2295" s="172"/>
    </row>
    <row r="2296" spans="9:9">
      <c r="I2296" s="172"/>
    </row>
    <row r="2297" spans="9:9">
      <c r="I2297" s="172"/>
    </row>
    <row r="2298" spans="9:9">
      <c r="I2298" s="172"/>
    </row>
    <row r="2299" spans="9:9">
      <c r="I2299" s="172"/>
    </row>
    <row r="2300" spans="9:9">
      <c r="I2300" s="172"/>
    </row>
    <row r="2301" spans="9:9">
      <c r="I2301" s="172"/>
    </row>
    <row r="2302" spans="9:9">
      <c r="I2302" s="172"/>
    </row>
    <row r="2303" spans="9:9">
      <c r="I2303" s="172"/>
    </row>
    <row r="2304" spans="9:9">
      <c r="I2304" s="172"/>
    </row>
    <row r="2305" spans="9:9">
      <c r="I2305" s="172"/>
    </row>
    <row r="2306" spans="9:9">
      <c r="I2306" s="172"/>
    </row>
    <row r="2307" spans="9:9">
      <c r="I2307" s="172"/>
    </row>
    <row r="2308" spans="9:9">
      <c r="I2308" s="172"/>
    </row>
    <row r="2309" spans="9:9">
      <c r="I2309" s="172"/>
    </row>
    <row r="2310" spans="9:9">
      <c r="I2310" s="172"/>
    </row>
    <row r="2311" spans="9:9">
      <c r="I2311" s="172"/>
    </row>
    <row r="2312" spans="9:9">
      <c r="I2312" s="172"/>
    </row>
    <row r="2313" spans="9:9">
      <c r="I2313" s="172"/>
    </row>
    <row r="2314" spans="9:9">
      <c r="I2314" s="172"/>
    </row>
    <row r="2315" spans="9:9">
      <c r="I2315" s="172"/>
    </row>
    <row r="2316" spans="9:9">
      <c r="I2316" s="172"/>
    </row>
    <row r="2317" spans="9:9">
      <c r="I2317" s="172"/>
    </row>
    <row r="2318" spans="9:9">
      <c r="I2318" s="172"/>
    </row>
    <row r="2319" spans="9:9">
      <c r="I2319" s="172"/>
    </row>
    <row r="2320" spans="9:9">
      <c r="I2320" s="172"/>
    </row>
    <row r="2321" spans="9:9">
      <c r="I2321" s="172"/>
    </row>
    <row r="2322" spans="9:9">
      <c r="I2322" s="172"/>
    </row>
    <row r="2323" spans="9:9">
      <c r="I2323" s="172"/>
    </row>
    <row r="2324" spans="9:9">
      <c r="I2324" s="172"/>
    </row>
    <row r="2325" spans="9:9">
      <c r="I2325" s="172"/>
    </row>
    <row r="2326" spans="9:9">
      <c r="I2326" s="172"/>
    </row>
    <row r="2327" spans="9:9">
      <c r="I2327" s="172"/>
    </row>
    <row r="2328" spans="9:9">
      <c r="I2328" s="172"/>
    </row>
    <row r="2329" spans="9:9">
      <c r="I2329" s="172"/>
    </row>
    <row r="2330" spans="9:9">
      <c r="I2330" s="172"/>
    </row>
    <row r="2331" spans="9:9">
      <c r="I2331" s="172"/>
    </row>
    <row r="2332" spans="9:9">
      <c r="I2332" s="172"/>
    </row>
    <row r="2333" spans="9:9">
      <c r="I2333" s="172"/>
    </row>
    <row r="2334" spans="9:9">
      <c r="I2334" s="172"/>
    </row>
    <row r="2335" spans="9:9">
      <c r="I2335" s="172"/>
    </row>
    <row r="2336" spans="9:9">
      <c r="I2336" s="172"/>
    </row>
    <row r="2337" spans="9:9">
      <c r="I2337" s="172"/>
    </row>
    <row r="2338" spans="9:9">
      <c r="I2338" s="172"/>
    </row>
    <row r="2339" spans="9:9">
      <c r="I2339" s="172"/>
    </row>
    <row r="2340" spans="9:9">
      <c r="I2340" s="172"/>
    </row>
    <row r="2341" spans="9:9">
      <c r="I2341" s="172"/>
    </row>
    <row r="2342" spans="9:9">
      <c r="I2342" s="172"/>
    </row>
    <row r="2343" spans="9:9">
      <c r="I2343" s="172"/>
    </row>
    <row r="2344" spans="9:9">
      <c r="I2344" s="172"/>
    </row>
    <row r="2345" spans="9:9">
      <c r="I2345" s="172"/>
    </row>
    <row r="2346" spans="9:9">
      <c r="I2346" s="172"/>
    </row>
    <row r="2347" spans="9:9">
      <c r="I2347" s="172"/>
    </row>
    <row r="2348" spans="9:9">
      <c r="I2348" s="172"/>
    </row>
    <row r="2349" spans="9:9">
      <c r="I2349" s="172"/>
    </row>
    <row r="2350" spans="9:9">
      <c r="I2350" s="172"/>
    </row>
    <row r="2351" spans="9:9">
      <c r="I2351" s="172"/>
    </row>
    <row r="2352" spans="9:9">
      <c r="I2352" s="172"/>
    </row>
    <row r="2353" spans="9:9">
      <c r="I2353" s="172"/>
    </row>
    <row r="2354" spans="9:9">
      <c r="I2354" s="172"/>
    </row>
    <row r="2355" spans="9:9">
      <c r="I2355" s="172"/>
    </row>
    <row r="2356" spans="9:9">
      <c r="I2356" s="172"/>
    </row>
    <row r="2357" spans="9:9">
      <c r="I2357" s="172"/>
    </row>
    <row r="2358" spans="9:9">
      <c r="I2358" s="172"/>
    </row>
    <row r="2359" spans="9:9">
      <c r="I2359" s="172"/>
    </row>
    <row r="2360" spans="9:9">
      <c r="I2360" s="172"/>
    </row>
    <row r="2361" spans="9:9">
      <c r="I2361" s="172"/>
    </row>
    <row r="2362" spans="9:9">
      <c r="I2362" s="172"/>
    </row>
    <row r="2363" spans="9:9">
      <c r="I2363" s="172"/>
    </row>
    <row r="2364" spans="9:9">
      <c r="I2364" s="172"/>
    </row>
    <row r="2365" spans="9:9">
      <c r="I2365" s="172"/>
    </row>
    <row r="2366" spans="9:9">
      <c r="I2366" s="172"/>
    </row>
    <row r="2367" spans="9:9">
      <c r="I2367" s="172"/>
    </row>
    <row r="2368" spans="9:9">
      <c r="I2368" s="172"/>
    </row>
    <row r="2369" spans="9:9">
      <c r="I2369" s="172"/>
    </row>
    <row r="2370" spans="9:9">
      <c r="I2370" s="172"/>
    </row>
    <row r="2371" spans="9:9">
      <c r="I2371" s="172"/>
    </row>
    <row r="2372" spans="9:9">
      <c r="I2372" s="172"/>
    </row>
    <row r="2373" spans="9:9">
      <c r="I2373" s="172"/>
    </row>
    <row r="2374" spans="9:9">
      <c r="I2374" s="172"/>
    </row>
    <row r="2375" spans="9:9">
      <c r="I2375" s="172"/>
    </row>
    <row r="2376" spans="9:9">
      <c r="I2376" s="172"/>
    </row>
    <row r="2377" spans="9:9">
      <c r="I2377" s="172"/>
    </row>
    <row r="2378" spans="9:9">
      <c r="I2378" s="172"/>
    </row>
    <row r="2379" spans="9:9">
      <c r="I2379" s="172"/>
    </row>
    <row r="2380" spans="9:9">
      <c r="I2380" s="172"/>
    </row>
    <row r="2381" spans="9:9">
      <c r="I2381" s="172"/>
    </row>
    <row r="2382" spans="9:9">
      <c r="I2382" s="172"/>
    </row>
    <row r="2383" spans="9:9">
      <c r="I2383" s="172"/>
    </row>
    <row r="2384" spans="9:9">
      <c r="I2384" s="172"/>
    </row>
    <row r="2385" spans="9:9">
      <c r="I2385" s="172"/>
    </row>
    <row r="2386" spans="9:9">
      <c r="I2386" s="172"/>
    </row>
    <row r="2387" spans="9:9">
      <c r="I2387" s="172"/>
    </row>
    <row r="2388" spans="9:9">
      <c r="I2388" s="172"/>
    </row>
    <row r="2389" spans="9:9">
      <c r="I2389" s="172"/>
    </row>
    <row r="2390" spans="9:9">
      <c r="I2390" s="172"/>
    </row>
    <row r="2391" spans="9:9">
      <c r="I2391" s="172"/>
    </row>
    <row r="2392" spans="9:9">
      <c r="I2392" s="172"/>
    </row>
    <row r="2393" spans="9:9">
      <c r="I2393" s="172"/>
    </row>
    <row r="2394" spans="9:9">
      <c r="I2394" s="172"/>
    </row>
    <row r="2395" spans="9:9">
      <c r="I2395" s="172"/>
    </row>
    <row r="2396" spans="9:9">
      <c r="I2396" s="172"/>
    </row>
    <row r="2397" spans="9:9">
      <c r="I2397" s="172"/>
    </row>
    <row r="2398" spans="9:9">
      <c r="I2398" s="172"/>
    </row>
    <row r="2399" spans="9:9">
      <c r="I2399" s="172"/>
    </row>
    <row r="2400" spans="9:9">
      <c r="I2400" s="172"/>
    </row>
    <row r="2401" spans="9:9">
      <c r="I2401" s="172"/>
    </row>
    <row r="2402" spans="9:9">
      <c r="I2402" s="172"/>
    </row>
    <row r="2403" spans="9:9">
      <c r="I2403" s="172"/>
    </row>
    <row r="2404" spans="9:9">
      <c r="I2404" s="172"/>
    </row>
    <row r="2405" spans="9:9">
      <c r="I2405" s="172"/>
    </row>
    <row r="2406" spans="9:9">
      <c r="I2406" s="172"/>
    </row>
    <row r="2407" spans="9:9">
      <c r="I2407" s="172"/>
    </row>
    <row r="2408" spans="9:9">
      <c r="I2408" s="172"/>
    </row>
    <row r="2409" spans="9:9">
      <c r="I2409" s="172"/>
    </row>
    <row r="2410" spans="9:9">
      <c r="I2410" s="172"/>
    </row>
    <row r="2411" spans="9:9">
      <c r="I2411" s="172"/>
    </row>
    <row r="2412" spans="9:9">
      <c r="I2412" s="172"/>
    </row>
    <row r="2413" spans="9:9">
      <c r="I2413" s="172"/>
    </row>
    <row r="2414" spans="9:9">
      <c r="I2414" s="172"/>
    </row>
    <row r="2415" spans="9:9">
      <c r="I2415" s="172"/>
    </row>
    <row r="2416" spans="9:9">
      <c r="I2416" s="172"/>
    </row>
    <row r="2417" spans="9:9">
      <c r="I2417" s="172"/>
    </row>
    <row r="2418" spans="9:9">
      <c r="I2418" s="172"/>
    </row>
    <row r="2419" spans="9:9">
      <c r="I2419" s="172"/>
    </row>
    <row r="2420" spans="9:9">
      <c r="I2420" s="172"/>
    </row>
    <row r="2421" spans="9:9">
      <c r="I2421" s="172"/>
    </row>
    <row r="2422" spans="9:9">
      <c r="I2422" s="172"/>
    </row>
    <row r="2423" spans="9:9">
      <c r="I2423" s="172"/>
    </row>
    <row r="2424" spans="9:9">
      <c r="I2424" s="172"/>
    </row>
    <row r="2425" spans="9:9">
      <c r="I2425" s="172"/>
    </row>
    <row r="2426" spans="9:9">
      <c r="I2426" s="172"/>
    </row>
    <row r="2427" spans="9:9">
      <c r="I2427" s="172"/>
    </row>
    <row r="2428" spans="9:9">
      <c r="I2428" s="172"/>
    </row>
    <row r="2429" spans="9:9">
      <c r="I2429" s="172"/>
    </row>
    <row r="2430" spans="9:9">
      <c r="I2430" s="172"/>
    </row>
    <row r="2431" spans="9:9">
      <c r="I2431" s="172"/>
    </row>
    <row r="2432" spans="9:9">
      <c r="I2432" s="172"/>
    </row>
    <row r="2433" spans="9:9">
      <c r="I2433" s="172"/>
    </row>
    <row r="2434" spans="9:9">
      <c r="I2434" s="172"/>
    </row>
    <row r="2435" spans="9:9">
      <c r="I2435" s="172"/>
    </row>
    <row r="2436" spans="9:9">
      <c r="I2436" s="172"/>
    </row>
    <row r="2437" spans="9:9">
      <c r="I2437" s="172"/>
    </row>
    <row r="2438" spans="9:9">
      <c r="I2438" s="172"/>
    </row>
    <row r="2439" spans="9:9">
      <c r="I2439" s="172"/>
    </row>
    <row r="2440" spans="9:9">
      <c r="I2440" s="172"/>
    </row>
    <row r="2441" spans="9:9">
      <c r="I2441" s="172"/>
    </row>
    <row r="2442" spans="9:9">
      <c r="I2442" s="172"/>
    </row>
    <row r="2443" spans="9:9">
      <c r="I2443" s="172"/>
    </row>
    <row r="2444" spans="9:9">
      <c r="I2444" s="172"/>
    </row>
    <row r="2445" spans="9:9">
      <c r="I2445" s="172"/>
    </row>
    <row r="2446" spans="9:9">
      <c r="I2446" s="172"/>
    </row>
    <row r="2447" spans="9:9">
      <c r="I2447" s="172"/>
    </row>
    <row r="2448" spans="9:9">
      <c r="I2448" s="172"/>
    </row>
    <row r="2449" spans="9:9">
      <c r="I2449" s="172"/>
    </row>
    <row r="2450" spans="9:9">
      <c r="I2450" s="172"/>
    </row>
    <row r="2451" spans="9:9">
      <c r="I2451" s="172"/>
    </row>
    <row r="2452" spans="9:9">
      <c r="I2452" s="172"/>
    </row>
    <row r="2453" spans="9:9">
      <c r="I2453" s="172"/>
    </row>
    <row r="2454" spans="9:9">
      <c r="I2454" s="172"/>
    </row>
    <row r="2455" spans="9:9">
      <c r="I2455" s="172"/>
    </row>
    <row r="2456" spans="9:9">
      <c r="I2456" s="172"/>
    </row>
    <row r="2457" spans="9:9">
      <c r="I2457" s="172"/>
    </row>
    <row r="2458" spans="9:9">
      <c r="I2458" s="172"/>
    </row>
    <row r="2459" spans="9:9">
      <c r="I2459" s="172"/>
    </row>
    <row r="2460" spans="9:9">
      <c r="I2460" s="172"/>
    </row>
    <row r="2461" spans="9:9">
      <c r="I2461" s="172"/>
    </row>
    <row r="2462" spans="9:9">
      <c r="I2462" s="172"/>
    </row>
    <row r="2463" spans="9:9">
      <c r="I2463" s="172"/>
    </row>
    <row r="2464" spans="9:9">
      <c r="I2464" s="172"/>
    </row>
    <row r="2465" spans="9:9">
      <c r="I2465" s="172"/>
    </row>
    <row r="2466" spans="9:9">
      <c r="I2466" s="172"/>
    </row>
    <row r="2467" spans="9:9">
      <c r="I2467" s="172"/>
    </row>
    <row r="2468" spans="9:9">
      <c r="I2468" s="172"/>
    </row>
    <row r="2469" spans="9:9">
      <c r="I2469" s="172"/>
    </row>
    <row r="2470" spans="9:9">
      <c r="I2470" s="172"/>
    </row>
    <row r="2471" spans="9:9">
      <c r="I2471" s="172"/>
    </row>
    <row r="2472" spans="9:9">
      <c r="I2472" s="172"/>
    </row>
    <row r="2473" spans="9:9">
      <c r="I2473" s="172"/>
    </row>
    <row r="2474" spans="9:9">
      <c r="I2474" s="172"/>
    </row>
    <row r="2475" spans="9:9">
      <c r="I2475" s="172"/>
    </row>
    <row r="2476" spans="9:9">
      <c r="I2476" s="172"/>
    </row>
    <row r="2477" spans="9:9">
      <c r="I2477" s="172"/>
    </row>
    <row r="2478" spans="9:9">
      <c r="I2478" s="172"/>
    </row>
    <row r="2479" spans="9:9">
      <c r="I2479" s="172"/>
    </row>
    <row r="2480" spans="9:9">
      <c r="I2480" s="172"/>
    </row>
    <row r="2481" spans="9:9">
      <c r="I2481" s="172"/>
    </row>
    <row r="2482" spans="9:9">
      <c r="I2482" s="172"/>
    </row>
    <row r="2483" spans="9:9">
      <c r="I2483" s="172"/>
    </row>
    <row r="2484" spans="9:9">
      <c r="I2484" s="172"/>
    </row>
    <row r="2485" spans="9:9">
      <c r="I2485" s="172"/>
    </row>
    <row r="2486" spans="9:9">
      <c r="I2486" s="172"/>
    </row>
    <row r="2487" spans="9:9">
      <c r="I2487" s="172"/>
    </row>
    <row r="2488" spans="9:9">
      <c r="I2488" s="172"/>
    </row>
    <row r="2489" spans="9:9">
      <c r="I2489" s="172"/>
    </row>
    <row r="2490" spans="9:9">
      <c r="I2490" s="172"/>
    </row>
    <row r="2491" spans="9:9">
      <c r="I2491" s="172"/>
    </row>
    <row r="2492" spans="9:9">
      <c r="I2492" s="172"/>
    </row>
    <row r="2493" spans="9:9">
      <c r="I2493" s="172"/>
    </row>
    <row r="2494" spans="9:9">
      <c r="I2494" s="172"/>
    </row>
    <row r="2495" spans="9:9">
      <c r="I2495" s="172"/>
    </row>
    <row r="2496" spans="9:9">
      <c r="I2496" s="172"/>
    </row>
    <row r="2497" spans="9:9">
      <c r="I2497" s="172"/>
    </row>
    <row r="2498" spans="9:9">
      <c r="I2498" s="172"/>
    </row>
    <row r="2499" spans="9:9">
      <c r="I2499" s="172"/>
    </row>
    <row r="2500" spans="9:9">
      <c r="I2500" s="172"/>
    </row>
    <row r="2501" spans="9:9">
      <c r="I2501" s="172"/>
    </row>
    <row r="2502" spans="9:9">
      <c r="I2502" s="172"/>
    </row>
    <row r="2503" spans="9:9">
      <c r="I2503" s="172"/>
    </row>
    <row r="2504" spans="9:9">
      <c r="I2504" s="172"/>
    </row>
    <row r="2505" spans="9:9">
      <c r="I2505" s="172"/>
    </row>
    <row r="2506" spans="9:9">
      <c r="I2506" s="172"/>
    </row>
    <row r="2507" spans="9:9">
      <c r="I2507" s="172"/>
    </row>
    <row r="2508" spans="9:9">
      <c r="I2508" s="172"/>
    </row>
    <row r="2509" spans="9:9">
      <c r="I2509" s="172"/>
    </row>
    <row r="2510" spans="9:9">
      <c r="I2510" s="172"/>
    </row>
    <row r="2511" spans="9:9">
      <c r="I2511" s="172"/>
    </row>
    <row r="2512" spans="9:9">
      <c r="I2512" s="172"/>
    </row>
    <row r="2513" spans="9:9">
      <c r="I2513" s="172"/>
    </row>
    <row r="2514" spans="9:9">
      <c r="I2514" s="172"/>
    </row>
    <row r="2515" spans="9:9">
      <c r="I2515" s="172"/>
    </row>
    <row r="2516" spans="9:9">
      <c r="I2516" s="172"/>
    </row>
    <row r="2517" spans="9:9">
      <c r="I2517" s="172"/>
    </row>
    <row r="2518" spans="9:9">
      <c r="I2518" s="172"/>
    </row>
    <row r="2519" spans="9:9">
      <c r="I2519" s="172"/>
    </row>
    <row r="2520" spans="9:9">
      <c r="I2520" s="172"/>
    </row>
    <row r="2521" spans="9:9">
      <c r="I2521" s="172"/>
    </row>
    <row r="2522" spans="9:9">
      <c r="I2522" s="172"/>
    </row>
    <row r="2523" spans="9:9">
      <c r="I2523" s="172"/>
    </row>
    <row r="2524" spans="9:9">
      <c r="I2524" s="172"/>
    </row>
    <row r="2525" spans="9:9">
      <c r="I2525" s="172"/>
    </row>
    <row r="2526" spans="9:9">
      <c r="I2526" s="172"/>
    </row>
    <row r="2527" spans="9:9">
      <c r="I2527" s="172"/>
    </row>
    <row r="2528" spans="9:9">
      <c r="I2528" s="172"/>
    </row>
    <row r="2529" spans="9:9">
      <c r="I2529" s="172"/>
    </row>
    <row r="2530" spans="9:9">
      <c r="I2530" s="172"/>
    </row>
    <row r="2531" spans="9:9">
      <c r="I2531" s="172"/>
    </row>
    <row r="2532" spans="9:9">
      <c r="I2532" s="172"/>
    </row>
    <row r="2533" spans="9:9">
      <c r="I2533" s="172"/>
    </row>
    <row r="2534" spans="9:9">
      <c r="I2534" s="172"/>
    </row>
    <row r="2535" spans="9:9">
      <c r="I2535" s="172"/>
    </row>
    <row r="2536" spans="9:9">
      <c r="I2536" s="172"/>
    </row>
    <row r="2537" spans="9:9">
      <c r="I2537" s="172"/>
    </row>
    <row r="2538" spans="9:9">
      <c r="I2538" s="172"/>
    </row>
    <row r="2539" spans="9:9">
      <c r="I2539" s="172"/>
    </row>
    <row r="2540" spans="9:9">
      <c r="I2540" s="172"/>
    </row>
    <row r="2541" spans="9:9">
      <c r="I2541" s="172"/>
    </row>
    <row r="2542" spans="9:9">
      <c r="I2542" s="172"/>
    </row>
    <row r="2543" spans="9:9">
      <c r="I2543" s="172"/>
    </row>
    <row r="2544" spans="9:9">
      <c r="I2544" s="172"/>
    </row>
    <row r="2545" spans="9:9">
      <c r="I2545" s="172"/>
    </row>
    <row r="2546" spans="9:9">
      <c r="I2546" s="172"/>
    </row>
    <row r="2547" spans="9:9">
      <c r="I2547" s="172"/>
    </row>
    <row r="2548" spans="9:9">
      <c r="I2548" s="172"/>
    </row>
    <row r="2549" spans="9:9">
      <c r="I2549" s="172"/>
    </row>
    <row r="2550" spans="9:9">
      <c r="I2550" s="172"/>
    </row>
    <row r="2551" spans="9:9">
      <c r="I2551" s="172"/>
    </row>
    <row r="2552" spans="9:9">
      <c r="I2552" s="172"/>
    </row>
    <row r="2553" spans="9:9">
      <c r="I2553" s="172"/>
    </row>
    <row r="2554" spans="9:9">
      <c r="I2554" s="172"/>
    </row>
    <row r="2555" spans="9:9">
      <c r="I2555" s="172"/>
    </row>
    <row r="2556" spans="9:9">
      <c r="I2556" s="172"/>
    </row>
    <row r="2557" spans="9:9">
      <c r="I2557" s="172"/>
    </row>
    <row r="2558" spans="9:9">
      <c r="I2558" s="172"/>
    </row>
    <row r="2559" spans="9:9">
      <c r="I2559" s="172"/>
    </row>
    <row r="2560" spans="9:9">
      <c r="I2560" s="172"/>
    </row>
    <row r="2561" spans="9:9">
      <c r="I2561" s="172"/>
    </row>
    <row r="2562" spans="9:9">
      <c r="I2562" s="172"/>
    </row>
    <row r="2563" spans="9:9">
      <c r="I2563" s="172"/>
    </row>
    <row r="2564" spans="9:9">
      <c r="I2564" s="172"/>
    </row>
    <row r="2565" spans="9:9">
      <c r="I2565" s="172"/>
    </row>
    <row r="2566" spans="9:9">
      <c r="I2566" s="172"/>
    </row>
    <row r="2567" spans="9:9">
      <c r="I2567" s="172"/>
    </row>
    <row r="2568" spans="9:9">
      <c r="I2568" s="172"/>
    </row>
    <row r="2569" spans="9:9">
      <c r="I2569" s="172"/>
    </row>
    <row r="2570" spans="9:9">
      <c r="I2570" s="172"/>
    </row>
    <row r="2571" spans="9:9">
      <c r="I2571" s="172"/>
    </row>
    <row r="2572" spans="9:9">
      <c r="I2572" s="172"/>
    </row>
    <row r="2573" spans="9:9">
      <c r="I2573" s="172"/>
    </row>
    <row r="2574" spans="9:9">
      <c r="I2574" s="172"/>
    </row>
    <row r="2575" spans="9:9">
      <c r="I2575" s="172"/>
    </row>
    <row r="2576" spans="9:9">
      <c r="I2576" s="172"/>
    </row>
    <row r="2577" spans="9:9">
      <c r="I2577" s="172"/>
    </row>
    <row r="2578" spans="9:9">
      <c r="I2578" s="172"/>
    </row>
    <row r="2579" spans="9:9">
      <c r="I2579" s="172"/>
    </row>
    <row r="2580" spans="9:9">
      <c r="I2580" s="172"/>
    </row>
    <row r="2581" spans="9:9">
      <c r="I2581" s="172"/>
    </row>
    <row r="2582" spans="9:9">
      <c r="I2582" s="172"/>
    </row>
    <row r="2583" spans="9:9">
      <c r="I2583" s="172"/>
    </row>
    <row r="2584" spans="9:9">
      <c r="I2584" s="172"/>
    </row>
    <row r="2585" spans="9:9">
      <c r="I2585" s="172"/>
    </row>
    <row r="2586" spans="9:9">
      <c r="I2586" s="172"/>
    </row>
    <row r="2587" spans="9:9">
      <c r="I2587" s="172"/>
    </row>
    <row r="2588" spans="9:9">
      <c r="I2588" s="172"/>
    </row>
    <row r="2589" spans="9:9">
      <c r="I2589" s="172"/>
    </row>
    <row r="2590" spans="9:9">
      <c r="I2590" s="172"/>
    </row>
    <row r="2591" spans="9:9">
      <c r="I2591" s="172"/>
    </row>
    <row r="2592" spans="9:9">
      <c r="I2592" s="172"/>
    </row>
    <row r="2593" spans="9:9">
      <c r="I2593" s="172"/>
    </row>
    <row r="2594" spans="9:9">
      <c r="I2594" s="172"/>
    </row>
    <row r="2595" spans="9:9">
      <c r="I2595" s="172"/>
    </row>
    <row r="2596" spans="9:9">
      <c r="I2596" s="172"/>
    </row>
    <row r="2597" spans="9:9">
      <c r="I2597" s="172"/>
    </row>
    <row r="2598" spans="9:9">
      <c r="I2598" s="172"/>
    </row>
    <row r="2599" spans="9:9">
      <c r="I2599" s="172"/>
    </row>
    <row r="2600" spans="9:9">
      <c r="I2600" s="172"/>
    </row>
    <row r="2601" spans="9:9">
      <c r="I2601" s="172"/>
    </row>
    <row r="2602" spans="9:9">
      <c r="I2602" s="172"/>
    </row>
    <row r="2603" spans="9:9">
      <c r="I2603" s="172"/>
    </row>
    <row r="2604" spans="9:9">
      <c r="I2604" s="172"/>
    </row>
    <row r="2605" spans="9:9">
      <c r="I2605" s="172"/>
    </row>
    <row r="2606" spans="9:9">
      <c r="I2606" s="172"/>
    </row>
    <row r="2607" spans="9:9">
      <c r="I2607" s="172"/>
    </row>
    <row r="2608" spans="9:9">
      <c r="I2608" s="172"/>
    </row>
    <row r="2609" spans="9:9">
      <c r="I2609" s="172"/>
    </row>
    <row r="2610" spans="9:9">
      <c r="I2610" s="172"/>
    </row>
    <row r="2611" spans="9:9">
      <c r="I2611" s="172"/>
    </row>
    <row r="2612" spans="9:9">
      <c r="I2612" s="172"/>
    </row>
    <row r="2613" spans="9:9">
      <c r="I2613" s="172"/>
    </row>
    <row r="2614" spans="9:9">
      <c r="I2614" s="172"/>
    </row>
    <row r="2615" spans="9:9">
      <c r="I2615" s="172"/>
    </row>
    <row r="2616" spans="9:9">
      <c r="I2616" s="172"/>
    </row>
    <row r="2617" spans="9:9">
      <c r="I2617" s="172"/>
    </row>
    <row r="2618" spans="9:9">
      <c r="I2618" s="172"/>
    </row>
    <row r="2619" spans="9:9">
      <c r="I2619" s="172"/>
    </row>
    <row r="2620" spans="9:9">
      <c r="I2620" s="172"/>
    </row>
    <row r="2621" spans="9:9">
      <c r="I2621" s="172"/>
    </row>
    <row r="2622" spans="9:9">
      <c r="I2622" s="172"/>
    </row>
    <row r="2623" spans="9:9">
      <c r="I2623" s="172"/>
    </row>
    <row r="2624" spans="9:9">
      <c r="I2624" s="172"/>
    </row>
    <row r="2625" spans="9:9">
      <c r="I2625" s="172"/>
    </row>
    <row r="2626" spans="9:9">
      <c r="I2626" s="172"/>
    </row>
    <row r="2627" spans="9:9">
      <c r="I2627" s="172"/>
    </row>
    <row r="2628" spans="9:9">
      <c r="I2628" s="172"/>
    </row>
    <row r="2629" spans="9:9">
      <c r="I2629" s="172"/>
    </row>
    <row r="2630" spans="9:9">
      <c r="I2630" s="172"/>
    </row>
    <row r="2631" spans="9:9">
      <c r="I2631" s="172"/>
    </row>
    <row r="2632" spans="9:9">
      <c r="I2632" s="172"/>
    </row>
    <row r="2633" spans="9:9">
      <c r="I2633" s="172"/>
    </row>
    <row r="2634" spans="9:9">
      <c r="I2634" s="172"/>
    </row>
    <row r="2635" spans="9:9">
      <c r="I2635" s="172"/>
    </row>
    <row r="2636" spans="9:9">
      <c r="I2636" s="172"/>
    </row>
    <row r="2637" spans="9:9">
      <c r="I2637" s="172"/>
    </row>
    <row r="2638" spans="9:9">
      <c r="I2638" s="172"/>
    </row>
    <row r="2639" spans="9:9">
      <c r="I2639" s="172"/>
    </row>
    <row r="2640" spans="9:9">
      <c r="I2640" s="172"/>
    </row>
    <row r="2641" spans="9:9">
      <c r="I2641" s="172"/>
    </row>
    <row r="2642" spans="9:9">
      <c r="I2642" s="172"/>
    </row>
    <row r="2643" spans="9:9">
      <c r="I2643" s="172"/>
    </row>
    <row r="2644" spans="9:9">
      <c r="I2644" s="172"/>
    </row>
    <row r="2645" spans="9:9">
      <c r="I2645" s="172"/>
    </row>
    <row r="2646" spans="9:9">
      <c r="I2646" s="172"/>
    </row>
    <row r="2647" spans="9:9">
      <c r="I2647" s="172"/>
    </row>
    <row r="2648" spans="9:9">
      <c r="I2648" s="172"/>
    </row>
    <row r="2649" spans="9:9">
      <c r="I2649" s="172"/>
    </row>
    <row r="2650" spans="9:9">
      <c r="I2650" s="172"/>
    </row>
    <row r="2651" spans="9:9">
      <c r="I2651" s="172"/>
    </row>
    <row r="2652" spans="9:9">
      <c r="I2652" s="172"/>
    </row>
    <row r="2653" spans="9:9">
      <c r="I2653" s="172"/>
    </row>
    <row r="2654" spans="9:9">
      <c r="I2654" s="172"/>
    </row>
    <row r="2655" spans="9:9">
      <c r="I2655" s="172"/>
    </row>
    <row r="2656" spans="9:9">
      <c r="I2656" s="172"/>
    </row>
    <row r="2657" spans="9:9">
      <c r="I2657" s="172"/>
    </row>
    <row r="2658" spans="9:9">
      <c r="I2658" s="172"/>
    </row>
    <row r="2659" spans="9:9">
      <c r="I2659" s="172"/>
    </row>
    <row r="2660" spans="9:9">
      <c r="I2660" s="172"/>
    </row>
  </sheetData>
  <mergeCells count="246">
    <mergeCell ref="A310:H310"/>
    <mergeCell ref="B311:C311"/>
    <mergeCell ref="A432:H432"/>
    <mergeCell ref="A617:H617"/>
    <mergeCell ref="A788:H788"/>
    <mergeCell ref="B922:C922"/>
    <mergeCell ref="A1019:H1019"/>
    <mergeCell ref="A921:H921"/>
    <mergeCell ref="B945:C945"/>
    <mergeCell ref="E945:J945"/>
    <mergeCell ref="B946:C946"/>
    <mergeCell ref="A933:H933"/>
    <mergeCell ref="E648:J648"/>
    <mergeCell ref="B618:C618"/>
    <mergeCell ref="E552:J552"/>
    <mergeCell ref="A567:H567"/>
    <mergeCell ref="A579:H579"/>
    <mergeCell ref="A585:H585"/>
    <mergeCell ref="A586:H586"/>
    <mergeCell ref="E946:J946"/>
    <mergeCell ref="E467:J467"/>
    <mergeCell ref="A473:H473"/>
    <mergeCell ref="E512:J512"/>
    <mergeCell ref="E532:J532"/>
    <mergeCell ref="A541:H541"/>
    <mergeCell ref="E523:J523"/>
    <mergeCell ref="A944:H944"/>
    <mergeCell ref="B589:C589"/>
    <mergeCell ref="A587:H587"/>
    <mergeCell ref="B789:C789"/>
    <mergeCell ref="E789:J789"/>
    <mergeCell ref="A474:H474"/>
    <mergeCell ref="E542:J542"/>
    <mergeCell ref="A551:H551"/>
    <mergeCell ref="E589:J589"/>
    <mergeCell ref="E934:J934"/>
    <mergeCell ref="A943:H943"/>
    <mergeCell ref="E922:J922"/>
    <mergeCell ref="E959:J959"/>
    <mergeCell ref="A968:H968"/>
    <mergeCell ref="A497:H497"/>
    <mergeCell ref="E498:J498"/>
    <mergeCell ref="A507:H507"/>
    <mergeCell ref="E508:J508"/>
    <mergeCell ref="A511:H511"/>
    <mergeCell ref="A829:H829"/>
    <mergeCell ref="B830:C830"/>
    <mergeCell ref="E830:J830"/>
    <mergeCell ref="A868:H868"/>
    <mergeCell ref="B869:C869"/>
    <mergeCell ref="E869:J869"/>
    <mergeCell ref="A685:H685"/>
    <mergeCell ref="B686:C686"/>
    <mergeCell ref="E686:J686"/>
    <mergeCell ref="A723:H723"/>
    <mergeCell ref="B724:C724"/>
    <mergeCell ref="E724:J724"/>
    <mergeCell ref="A747:H747"/>
    <mergeCell ref="B748:C748"/>
    <mergeCell ref="E748:J748"/>
    <mergeCell ref="E618:J618"/>
    <mergeCell ref="A647:H647"/>
    <mergeCell ref="B23:C23"/>
    <mergeCell ref="E23:J23"/>
    <mergeCell ref="B62:C62"/>
    <mergeCell ref="A531:H531"/>
    <mergeCell ref="E969:J969"/>
    <mergeCell ref="A991:H991"/>
    <mergeCell ref="E992:J992"/>
    <mergeCell ref="A1009:H1009"/>
    <mergeCell ref="B85:C85"/>
    <mergeCell ref="A190:H190"/>
    <mergeCell ref="B433:C433"/>
    <mergeCell ref="E433:J433"/>
    <mergeCell ref="B434:C434"/>
    <mergeCell ref="B371:C371"/>
    <mergeCell ref="E371:J371"/>
    <mergeCell ref="B221:C221"/>
    <mergeCell ref="E221:J221"/>
    <mergeCell ref="A250:H250"/>
    <mergeCell ref="B251:C251"/>
    <mergeCell ref="E251:J251"/>
    <mergeCell ref="A280:H280"/>
    <mergeCell ref="A958:H958"/>
    <mergeCell ref="B959:C959"/>
    <mergeCell ref="B969:C969"/>
    <mergeCell ref="A1421:H1421"/>
    <mergeCell ref="A1442:J1442"/>
    <mergeCell ref="A1443:J1443"/>
    <mergeCell ref="A1444:J1444"/>
    <mergeCell ref="A1423:B1425"/>
    <mergeCell ref="A105:H105"/>
    <mergeCell ref="B106:C106"/>
    <mergeCell ref="E106:J106"/>
    <mergeCell ref="A142:H142"/>
    <mergeCell ref="B143:C143"/>
    <mergeCell ref="E143:J143"/>
    <mergeCell ref="A167:H167"/>
    <mergeCell ref="B648:C648"/>
    <mergeCell ref="E475:J475"/>
    <mergeCell ref="A522:H522"/>
    <mergeCell ref="B588:C588"/>
    <mergeCell ref="E588:J588"/>
    <mergeCell ref="C1423:J1423"/>
    <mergeCell ref="C1424:J1424"/>
    <mergeCell ref="C1425:J1425"/>
    <mergeCell ref="E168:J168"/>
    <mergeCell ref="B1120:C1120"/>
    <mergeCell ref="E1120:J1120"/>
    <mergeCell ref="A1125:H1125"/>
    <mergeCell ref="A1:J1"/>
    <mergeCell ref="A2:J2"/>
    <mergeCell ref="A3:J3"/>
    <mergeCell ref="A4:J4"/>
    <mergeCell ref="A5:J5"/>
    <mergeCell ref="A6:J6"/>
    <mergeCell ref="A8:J9"/>
    <mergeCell ref="E85:J85"/>
    <mergeCell ref="A61:H61"/>
    <mergeCell ref="A84:H84"/>
    <mergeCell ref="E62:J62"/>
    <mergeCell ref="A11:B11"/>
    <mergeCell ref="A12:B12"/>
    <mergeCell ref="A13:B13"/>
    <mergeCell ref="C11:G11"/>
    <mergeCell ref="C12:G12"/>
    <mergeCell ref="C13:G13"/>
    <mergeCell ref="B20:C20"/>
    <mergeCell ref="E20:J20"/>
    <mergeCell ref="B24:C24"/>
    <mergeCell ref="E24:J24"/>
    <mergeCell ref="A22:H22"/>
    <mergeCell ref="I12:J12"/>
    <mergeCell ref="I13:J13"/>
    <mergeCell ref="I11:J11"/>
    <mergeCell ref="B446:C446"/>
    <mergeCell ref="E446:J446"/>
    <mergeCell ref="E447:J447"/>
    <mergeCell ref="A457:H457"/>
    <mergeCell ref="E458:J458"/>
    <mergeCell ref="A466:H466"/>
    <mergeCell ref="B191:C191"/>
    <mergeCell ref="E191:J191"/>
    <mergeCell ref="A220:H220"/>
    <mergeCell ref="E434:J434"/>
    <mergeCell ref="E311:J311"/>
    <mergeCell ref="A340:H340"/>
    <mergeCell ref="B341:C341"/>
    <mergeCell ref="E341:J341"/>
    <mergeCell ref="A370:H370"/>
    <mergeCell ref="A400:H400"/>
    <mergeCell ref="B401:C401"/>
    <mergeCell ref="E401:J401"/>
    <mergeCell ref="A431:H431"/>
    <mergeCell ref="A445:H445"/>
    <mergeCell ref="B168:C168"/>
    <mergeCell ref="B281:C281"/>
    <mergeCell ref="E281:J281"/>
    <mergeCell ref="A1383:H1383"/>
    <mergeCell ref="A1389:H1389"/>
    <mergeCell ref="A1390:H1390"/>
    <mergeCell ref="A1401:H1401"/>
    <mergeCell ref="A1236:H1236"/>
    <mergeCell ref="A1147:H1147"/>
    <mergeCell ref="A1151:H1151"/>
    <mergeCell ref="A1156:H1156"/>
    <mergeCell ref="A1163:H1163"/>
    <mergeCell ref="A1189:H1189"/>
    <mergeCell ref="A1190:H1190"/>
    <mergeCell ref="A1195:H1195"/>
    <mergeCell ref="A1201:H1201"/>
    <mergeCell ref="A1210:H1210"/>
    <mergeCell ref="A1213:H1213"/>
    <mergeCell ref="A1223:H1223"/>
    <mergeCell ref="A1353:H1353"/>
    <mergeCell ref="A1345:H1345"/>
    <mergeCell ref="A1334:H1334"/>
    <mergeCell ref="A1254:H1254"/>
    <mergeCell ref="A1150:H1150"/>
    <mergeCell ref="A1235:H1235"/>
    <mergeCell ref="B1402:C1402"/>
    <mergeCell ref="E1402:J1402"/>
    <mergeCell ref="A1405:H1405"/>
    <mergeCell ref="A1415:H1415"/>
    <mergeCell ref="A1418:H1418"/>
    <mergeCell ref="A1419:H1419"/>
    <mergeCell ref="A1101:H1101"/>
    <mergeCell ref="E1102:J1102"/>
    <mergeCell ref="A1111:H1111"/>
    <mergeCell ref="A1264:H1264"/>
    <mergeCell ref="A1328:H1328"/>
    <mergeCell ref="B1126:C1126"/>
    <mergeCell ref="E1126:J1126"/>
    <mergeCell ref="A1131:H1131"/>
    <mergeCell ref="B1132:C1132"/>
    <mergeCell ref="E1132:J1132"/>
    <mergeCell ref="A1138:H1138"/>
    <mergeCell ref="A1139:H1139"/>
    <mergeCell ref="A1274:H1274"/>
    <mergeCell ref="E1140:J1140"/>
    <mergeCell ref="B1140:C1140"/>
    <mergeCell ref="A1240:H1240"/>
    <mergeCell ref="A1400:H1400"/>
    <mergeCell ref="B1237:C1237"/>
    <mergeCell ref="A1119:H1119"/>
    <mergeCell ref="A1366:H1366"/>
    <mergeCell ref="A1375:H1375"/>
    <mergeCell ref="A1293:H1293"/>
    <mergeCell ref="A1307:H1307"/>
    <mergeCell ref="A1313:H1313"/>
    <mergeCell ref="A1314:H1314"/>
    <mergeCell ref="A1258:H1258"/>
    <mergeCell ref="A1263:H1263"/>
    <mergeCell ref="E1237:J1237"/>
    <mergeCell ref="B1114:C1114"/>
    <mergeCell ref="E1114:J1114"/>
    <mergeCell ref="E1092:J1092"/>
    <mergeCell ref="E1078:J1078"/>
    <mergeCell ref="A1085:H1085"/>
    <mergeCell ref="A1112:H1112"/>
    <mergeCell ref="E1086:J1086"/>
    <mergeCell ref="A1091:H1091"/>
    <mergeCell ref="A1077:H1077"/>
    <mergeCell ref="A978:H978"/>
    <mergeCell ref="A985:H985"/>
    <mergeCell ref="A990:H990"/>
    <mergeCell ref="E1053:J1053"/>
    <mergeCell ref="B1054:C1054"/>
    <mergeCell ref="E1054:J1054"/>
    <mergeCell ref="B1113:C1113"/>
    <mergeCell ref="E1113:J1113"/>
    <mergeCell ref="A1065:H1065"/>
    <mergeCell ref="E1066:J1066"/>
    <mergeCell ref="A1068:H1068"/>
    <mergeCell ref="E1069:J1069"/>
    <mergeCell ref="B1053:C1053"/>
    <mergeCell ref="A1029:H1029"/>
    <mergeCell ref="E1010:J1010"/>
    <mergeCell ref="E1038:J1038"/>
    <mergeCell ref="A1047:H1047"/>
    <mergeCell ref="E1048:J1048"/>
    <mergeCell ref="A1051:H1051"/>
    <mergeCell ref="A1052:H1052"/>
    <mergeCell ref="A1037:H1037"/>
    <mergeCell ref="E1030:J1030"/>
    <mergeCell ref="E1020:J1020"/>
  </mergeCells>
  <printOptions horizontalCentered="1"/>
  <pageMargins left="0.39370078740157483" right="0.39370078740157483" top="0.47244094488188981" bottom="0.47244094488188981" header="0" footer="0"/>
  <pageSetup paperSize="9" scale="45" fitToHeight="0" orientation="portrait" r:id="rId1"/>
  <headerFooter alignWithMargins="0"/>
  <rowBreaks count="17" manualBreakCount="17">
    <brk id="90" max="9" man="1"/>
    <brk id="170" max="9" man="1"/>
    <brk id="253" max="9" man="1"/>
    <brk id="334" max="9" man="1"/>
    <brk id="416" max="9" man="1"/>
    <brk id="497" max="9" man="1"/>
    <brk id="587" max="9" man="1"/>
    <brk id="669" max="9" man="1"/>
    <brk id="743" max="9" man="1"/>
    <brk id="815" max="9" man="1"/>
    <brk id="891" max="9" man="1"/>
    <brk id="967" max="9" man="1"/>
    <brk id="1044" max="9" man="1"/>
    <brk id="1131" max="9" man="1"/>
    <brk id="1210" max="9" man="1"/>
    <brk id="1308" max="9" man="1"/>
    <brk id="139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P48"/>
  <sheetViews>
    <sheetView view="pageBreakPreview" zoomScaleNormal="115" zoomScaleSheetLayoutView="100" workbookViewId="0">
      <selection activeCell="A29" sqref="A29:B29"/>
    </sheetView>
  </sheetViews>
  <sheetFormatPr defaultRowHeight="16.5"/>
  <cols>
    <col min="1" max="1" width="4.625" style="39" bestFit="1" customWidth="1"/>
    <col min="2" max="2" width="35" style="39" bestFit="1" customWidth="1"/>
    <col min="3" max="3" width="12" style="40" bestFit="1" customWidth="1"/>
    <col min="4" max="4" width="6.875" style="4" bestFit="1" customWidth="1"/>
    <col min="5" max="5" width="6.125" style="4" bestFit="1" customWidth="1"/>
    <col min="6" max="6" width="9.875" style="39" bestFit="1" customWidth="1"/>
    <col min="7" max="7" width="6.125" style="41" bestFit="1" customWidth="1"/>
    <col min="8" max="8" width="10.75" style="39" bestFit="1" customWidth="1"/>
    <col min="9" max="9" width="6.125" style="41" bestFit="1" customWidth="1"/>
    <col min="10" max="10" width="10.75" style="39" bestFit="1" customWidth="1"/>
    <col min="11" max="11" width="6.125" style="41" bestFit="1" customWidth="1"/>
    <col min="12" max="12" width="10.75" style="39" bestFit="1" customWidth="1"/>
    <col min="13" max="13" width="6.125" style="41" bestFit="1" customWidth="1"/>
    <col min="14" max="14" width="10.75" style="39" bestFit="1" customWidth="1"/>
    <col min="15" max="15" width="6.125" style="41" bestFit="1" customWidth="1"/>
    <col min="16" max="16" width="10.75" style="39" bestFit="1" customWidth="1"/>
    <col min="17" max="17" width="6.125" style="39" bestFit="1" customWidth="1"/>
    <col min="18" max="18" width="10.75" style="39" bestFit="1" customWidth="1"/>
    <col min="19" max="19" width="6.125" style="39" bestFit="1" customWidth="1"/>
    <col min="20" max="20" width="10.75" style="39" bestFit="1" customWidth="1"/>
    <col min="21" max="21" width="6.125" style="39" bestFit="1" customWidth="1"/>
    <col min="22" max="22" width="10.75" style="39" bestFit="1" customWidth="1"/>
    <col min="23" max="23" width="6.125" style="39" bestFit="1" customWidth="1"/>
    <col min="24" max="24" width="10.75" style="39" bestFit="1" customWidth="1"/>
    <col min="25" max="25" width="6.125" style="39" bestFit="1" customWidth="1"/>
    <col min="26" max="26" width="10.75" style="39" bestFit="1" customWidth="1"/>
    <col min="27" max="27" width="6.125" style="39" bestFit="1" customWidth="1"/>
    <col min="28" max="28" width="12" style="39" bestFit="1" customWidth="1"/>
    <col min="29" max="29" width="6.125" style="41" bestFit="1" customWidth="1"/>
    <col min="30" max="30" width="12" style="39" bestFit="1" customWidth="1"/>
    <col min="31" max="31" width="6.125" style="41" bestFit="1" customWidth="1"/>
    <col min="32" max="32" width="12" style="39" bestFit="1" customWidth="1"/>
    <col min="33" max="33" width="6.125" style="41" bestFit="1" customWidth="1"/>
    <col min="34" max="34" width="12" style="39" bestFit="1" customWidth="1"/>
    <col min="35" max="58" width="8.125" style="39" customWidth="1"/>
    <col min="59" max="1026" width="10.625" style="39" customWidth="1"/>
    <col min="1027" max="1030" width="9" style="39" customWidth="1"/>
    <col min="1031" max="16384" width="9" style="39"/>
  </cols>
  <sheetData>
    <row r="1" spans="1:1030" s="32" customFormat="1" ht="18" customHeight="1">
      <c r="A1" s="434" t="s">
        <v>172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</row>
    <row r="2" spans="1:1030" s="32" customFormat="1" ht="13.5">
      <c r="A2" s="424" t="s">
        <v>173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  <c r="T2" s="424"/>
      <c r="U2" s="424"/>
      <c r="V2" s="424"/>
      <c r="W2" s="424"/>
      <c r="X2" s="424"/>
      <c r="Y2" s="424"/>
      <c r="Z2" s="424"/>
      <c r="AA2" s="424"/>
      <c r="AB2" s="424"/>
      <c r="AC2" s="424"/>
      <c r="AD2" s="424"/>
      <c r="AE2" s="424"/>
      <c r="AF2" s="424"/>
      <c r="AG2" s="424"/>
      <c r="AH2" s="424"/>
    </row>
    <row r="3" spans="1:1030" s="32" customFormat="1" ht="13.5">
      <c r="A3" s="424" t="s">
        <v>174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424"/>
      <c r="AH3" s="424"/>
    </row>
    <row r="4" spans="1:1030" s="32" customFormat="1" ht="13.5">
      <c r="A4" s="424" t="s">
        <v>175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</row>
    <row r="5" spans="1:1030" s="32" customFormat="1" ht="13.5">
      <c r="A5" s="424" t="s">
        <v>176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</row>
    <row r="6" spans="1:1030" s="32" customFormat="1" ht="13.5">
      <c r="A6" s="424" t="s">
        <v>177</v>
      </c>
      <c r="B6" s="424"/>
      <c r="C6" s="424"/>
      <c r="D6" s="424"/>
      <c r="E6" s="424"/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  <c r="S6" s="424"/>
      <c r="T6" s="424"/>
      <c r="U6" s="424"/>
      <c r="V6" s="424"/>
      <c r="W6" s="424"/>
      <c r="X6" s="424"/>
      <c r="Y6" s="424"/>
      <c r="Z6" s="424"/>
      <c r="AA6" s="424"/>
      <c r="AB6" s="424"/>
      <c r="AC6" s="424"/>
      <c r="AD6" s="424"/>
      <c r="AE6" s="424"/>
      <c r="AF6" s="424"/>
      <c r="AG6" s="424"/>
      <c r="AH6" s="424"/>
    </row>
    <row r="7" spans="1:1030" s="32" customFormat="1" ht="13.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</row>
    <row r="8" spans="1:1030" s="32" customFormat="1" ht="13.5">
      <c r="A8" s="435" t="s">
        <v>2038</v>
      </c>
      <c r="B8" s="435"/>
      <c r="C8" s="435"/>
      <c r="D8" s="435"/>
      <c r="E8" s="435"/>
      <c r="F8" s="435"/>
      <c r="G8" s="435"/>
      <c r="H8" s="435"/>
      <c r="I8" s="435"/>
      <c r="J8" s="435"/>
      <c r="K8" s="435"/>
      <c r="L8" s="435"/>
      <c r="M8" s="435"/>
      <c r="N8" s="435"/>
      <c r="O8" s="435"/>
      <c r="P8" s="435"/>
      <c r="Q8" s="435"/>
      <c r="R8" s="435"/>
      <c r="S8" s="435"/>
      <c r="T8" s="435"/>
      <c r="U8" s="435"/>
      <c r="V8" s="435"/>
      <c r="W8" s="435"/>
      <c r="X8" s="435"/>
      <c r="Y8" s="435"/>
      <c r="Z8" s="435"/>
      <c r="AA8" s="435"/>
      <c r="AB8" s="435"/>
      <c r="AC8" s="435"/>
      <c r="AD8" s="435"/>
      <c r="AE8" s="435"/>
      <c r="AF8" s="435"/>
      <c r="AG8" s="435"/>
      <c r="AH8" s="435"/>
    </row>
    <row r="9" spans="1:1030" s="32" customFormat="1" ht="13.5">
      <c r="A9" s="435"/>
      <c r="B9" s="435"/>
      <c r="C9" s="435"/>
      <c r="D9" s="435"/>
      <c r="E9" s="435"/>
      <c r="F9" s="435"/>
      <c r="G9" s="435"/>
      <c r="H9" s="435"/>
      <c r="I9" s="435"/>
      <c r="J9" s="435"/>
      <c r="K9" s="435"/>
      <c r="L9" s="435"/>
      <c r="M9" s="435"/>
      <c r="N9" s="435"/>
      <c r="O9" s="435"/>
      <c r="P9" s="435"/>
      <c r="Q9" s="435"/>
      <c r="R9" s="435"/>
      <c r="S9" s="435"/>
      <c r="T9" s="435"/>
      <c r="U9" s="435"/>
      <c r="V9" s="435"/>
      <c r="W9" s="435"/>
      <c r="X9" s="435"/>
      <c r="Y9" s="435"/>
      <c r="Z9" s="435"/>
      <c r="AA9" s="435"/>
      <c r="AB9" s="435"/>
      <c r="AC9" s="435"/>
      <c r="AD9" s="435"/>
      <c r="AE9" s="435"/>
      <c r="AF9" s="435"/>
      <c r="AG9" s="435"/>
      <c r="AH9" s="435"/>
    </row>
    <row r="10" spans="1:1030" s="1" customFormat="1">
      <c r="E10" s="10"/>
      <c r="F10" s="3"/>
      <c r="I10" s="11"/>
    </row>
    <row r="11" spans="1:1030" s="320" customFormat="1" ht="13.5">
      <c r="A11" s="425" t="s">
        <v>178</v>
      </c>
      <c r="B11" s="425"/>
      <c r="C11" s="429" t="str">
        <f>Planilha_Orçamentária!C11</f>
        <v>PREFEITURA MUNICIPAL DE ITARARÉ</v>
      </c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342"/>
      <c r="AD11" s="342"/>
      <c r="AE11" s="439" t="s">
        <v>1851</v>
      </c>
      <c r="AF11" s="439"/>
      <c r="AG11" s="430">
        <v>0.23</v>
      </c>
      <c r="AH11" s="431"/>
    </row>
    <row r="12" spans="1:1030" s="320" customFormat="1" ht="13.5">
      <c r="A12" s="425" t="s">
        <v>179</v>
      </c>
      <c r="B12" s="425"/>
      <c r="C12" s="429" t="str">
        <f>Planilha_Orçamentária!C12</f>
        <v>REFORMA E AMPLIAÇÃO DA E. M. ADRIANO QUEIROZ PIMENTEL</v>
      </c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342"/>
      <c r="AD12" s="342"/>
      <c r="AE12" s="439" t="s">
        <v>1852</v>
      </c>
      <c r="AF12" s="439"/>
      <c r="AG12" s="436">
        <v>44986</v>
      </c>
      <c r="AH12" s="431"/>
    </row>
    <row r="13" spans="1:1030" s="320" customFormat="1" ht="13.5">
      <c r="A13" s="425" t="s">
        <v>180</v>
      </c>
      <c r="B13" s="425"/>
      <c r="C13" s="429" t="str">
        <f>Planilha_Orçamentária!C13</f>
        <v>RUA ÍTALO VINCENZI, Nº 155, JARDIM SÃO PEDRO - ITARARÉ/SP - CEP: 18.462-412</v>
      </c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342"/>
      <c r="AD13" s="342"/>
      <c r="AE13" s="439" t="s">
        <v>1853</v>
      </c>
      <c r="AF13" s="439"/>
      <c r="AG13" s="437">
        <f>Planilha_Orçamentária!I1421</f>
        <v>0</v>
      </c>
      <c r="AH13" s="431"/>
    </row>
    <row r="14" spans="1:1030" s="6" customFormat="1" ht="12.75" customHeight="1">
      <c r="A14" s="12"/>
      <c r="B14" s="2"/>
      <c r="C14" s="2"/>
      <c r="D14" s="2"/>
      <c r="E14" s="2"/>
      <c r="F14" s="13"/>
      <c r="G14" s="14"/>
      <c r="H14" s="1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</row>
    <row r="15" spans="1:1030" s="6" customFormat="1" ht="12.75" customHeight="1">
      <c r="A15" s="16"/>
      <c r="B15" s="17"/>
      <c r="C15" s="17"/>
      <c r="D15" s="17"/>
      <c r="E15" s="18"/>
      <c r="F15" s="19"/>
      <c r="G15" s="20"/>
      <c r="H15" s="21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</row>
    <row r="16" spans="1:1030" s="22" customFormat="1" ht="14.25">
      <c r="A16" s="433" t="s">
        <v>97</v>
      </c>
      <c r="B16" s="433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3"/>
      <c r="O16" s="433"/>
      <c r="P16" s="433"/>
      <c r="Q16" s="433"/>
      <c r="R16" s="433"/>
      <c r="S16" s="433"/>
      <c r="T16" s="433"/>
      <c r="U16" s="433"/>
      <c r="V16" s="433"/>
      <c r="W16" s="433"/>
      <c r="X16" s="433"/>
      <c r="Y16" s="433"/>
      <c r="Z16" s="433"/>
      <c r="AA16" s="433"/>
      <c r="AB16" s="433"/>
      <c r="AC16" s="433"/>
      <c r="AD16" s="433"/>
      <c r="AE16" s="433"/>
      <c r="AF16" s="433"/>
      <c r="AG16" s="433"/>
      <c r="AH16" s="433"/>
    </row>
    <row r="17" spans="1:35" s="22" customFormat="1" ht="14.25">
      <c r="A17" s="23"/>
      <c r="B17" s="23"/>
      <c r="C17" s="438"/>
      <c r="D17" s="438"/>
      <c r="E17" s="426" t="s">
        <v>98</v>
      </c>
      <c r="F17" s="426"/>
      <c r="G17" s="426" t="s">
        <v>99</v>
      </c>
      <c r="H17" s="426"/>
      <c r="I17" s="426" t="s">
        <v>100</v>
      </c>
      <c r="J17" s="426"/>
      <c r="K17" s="426" t="s">
        <v>101</v>
      </c>
      <c r="L17" s="426"/>
      <c r="M17" s="426" t="s">
        <v>102</v>
      </c>
      <c r="N17" s="426"/>
      <c r="O17" s="426" t="s">
        <v>103</v>
      </c>
      <c r="P17" s="426"/>
      <c r="Q17" s="426" t="s">
        <v>104</v>
      </c>
      <c r="R17" s="426"/>
      <c r="S17" s="426" t="s">
        <v>105</v>
      </c>
      <c r="T17" s="426"/>
      <c r="U17" s="426" t="s">
        <v>106</v>
      </c>
      <c r="V17" s="426"/>
      <c r="W17" s="426" t="s">
        <v>107</v>
      </c>
      <c r="X17" s="426"/>
      <c r="Y17" s="426" t="s">
        <v>108</v>
      </c>
      <c r="Z17" s="426"/>
      <c r="AA17" s="426" t="s">
        <v>109</v>
      </c>
      <c r="AB17" s="426"/>
      <c r="AC17" s="426" t="s">
        <v>1844</v>
      </c>
      <c r="AD17" s="426"/>
      <c r="AE17" s="426" t="s">
        <v>1845</v>
      </c>
      <c r="AF17" s="426"/>
      <c r="AG17" s="426" t="s">
        <v>1846</v>
      </c>
      <c r="AH17" s="426"/>
    </row>
    <row r="18" spans="1:35" s="22" customFormat="1" ht="14.25">
      <c r="A18" s="24" t="s">
        <v>110</v>
      </c>
      <c r="B18" s="24" t="s">
        <v>0</v>
      </c>
      <c r="C18" s="25" t="s">
        <v>111</v>
      </c>
      <c r="D18" s="25" t="s">
        <v>4</v>
      </c>
      <c r="E18" s="25" t="s">
        <v>4</v>
      </c>
      <c r="F18" s="25" t="s">
        <v>112</v>
      </c>
      <c r="G18" s="25" t="s">
        <v>4</v>
      </c>
      <c r="H18" s="25" t="s">
        <v>112</v>
      </c>
      <c r="I18" s="25" t="s">
        <v>4</v>
      </c>
      <c r="J18" s="25" t="s">
        <v>112</v>
      </c>
      <c r="K18" s="25" t="s">
        <v>4</v>
      </c>
      <c r="L18" s="25" t="s">
        <v>112</v>
      </c>
      <c r="M18" s="25" t="s">
        <v>4</v>
      </c>
      <c r="N18" s="25" t="s">
        <v>112</v>
      </c>
      <c r="O18" s="25" t="s">
        <v>4</v>
      </c>
      <c r="P18" s="25" t="s">
        <v>112</v>
      </c>
      <c r="Q18" s="250" t="s">
        <v>4</v>
      </c>
      <c r="R18" s="250" t="s">
        <v>112</v>
      </c>
      <c r="S18" s="250" t="s">
        <v>4</v>
      </c>
      <c r="T18" s="250" t="s">
        <v>112</v>
      </c>
      <c r="U18" s="250" t="s">
        <v>4</v>
      </c>
      <c r="V18" s="250" t="s">
        <v>112</v>
      </c>
      <c r="W18" s="250" t="s">
        <v>4</v>
      </c>
      <c r="X18" s="250" t="s">
        <v>112</v>
      </c>
      <c r="Y18" s="250" t="s">
        <v>4</v>
      </c>
      <c r="Z18" s="250" t="s">
        <v>112</v>
      </c>
      <c r="AA18" s="250" t="s">
        <v>4</v>
      </c>
      <c r="AB18" s="250" t="s">
        <v>112</v>
      </c>
      <c r="AC18" s="25" t="s">
        <v>4</v>
      </c>
      <c r="AD18" s="25" t="s">
        <v>112</v>
      </c>
      <c r="AE18" s="25" t="s">
        <v>4</v>
      </c>
      <c r="AF18" s="25" t="s">
        <v>112</v>
      </c>
      <c r="AG18" s="25" t="s">
        <v>4</v>
      </c>
      <c r="AH18" s="25" t="s">
        <v>112</v>
      </c>
    </row>
    <row r="19" spans="1:35" s="32" customFormat="1" ht="13.5">
      <c r="A19" s="26">
        <v>1</v>
      </c>
      <c r="B19" s="27" t="str">
        <f>Planilha_Orçamentária!D20</f>
        <v>SERVIÇOS PRELIMINARES</v>
      </c>
      <c r="C19" s="28">
        <f>Planilha_Orçamentária!I22</f>
        <v>0</v>
      </c>
      <c r="D19" s="29" t="e">
        <f t="shared" ref="D19:D28" si="0">C19/$C$29</f>
        <v>#DIV/0!</v>
      </c>
      <c r="E19" s="30">
        <v>1</v>
      </c>
      <c r="F19" s="31">
        <f t="shared" ref="F19:F28" si="1">(E19*$C19)</f>
        <v>0</v>
      </c>
      <c r="G19" s="30"/>
      <c r="H19" s="31">
        <f t="shared" ref="H19:H28" si="2">(G19*$C19)</f>
        <v>0</v>
      </c>
      <c r="I19" s="30"/>
      <c r="J19" s="31">
        <f t="shared" ref="J19:J28" si="3">(I19*$C19)</f>
        <v>0</v>
      </c>
      <c r="K19" s="30"/>
      <c r="L19" s="31">
        <f t="shared" ref="L19:L28" si="4">(K19*$C19)</f>
        <v>0</v>
      </c>
      <c r="M19" s="30"/>
      <c r="N19" s="31">
        <f t="shared" ref="N19:N28" si="5">(M19*$C19)</f>
        <v>0</v>
      </c>
      <c r="O19" s="30"/>
      <c r="P19" s="31">
        <f t="shared" ref="P19:P28" si="6">(O19*$C19)</f>
        <v>0</v>
      </c>
      <c r="Q19" s="30"/>
      <c r="R19" s="31">
        <f t="shared" ref="R19:R28" si="7">(Q19*$C19)</f>
        <v>0</v>
      </c>
      <c r="S19" s="30"/>
      <c r="T19" s="31">
        <f t="shared" ref="T19:T28" si="8">(S19*$C19)</f>
        <v>0</v>
      </c>
      <c r="U19" s="30"/>
      <c r="V19" s="31">
        <f t="shared" ref="V19:V28" si="9">(U19*$C19)</f>
        <v>0</v>
      </c>
      <c r="W19" s="30"/>
      <c r="X19" s="31">
        <f t="shared" ref="X19:X28" si="10">(W19*$C19)</f>
        <v>0</v>
      </c>
      <c r="Y19" s="30"/>
      <c r="Z19" s="31">
        <f t="shared" ref="Z19:Z28" si="11">(Y19*$C19)</f>
        <v>0</v>
      </c>
      <c r="AA19" s="30"/>
      <c r="AB19" s="31">
        <f t="shared" ref="AB19:AB28" si="12">(AA19*$C19)</f>
        <v>0</v>
      </c>
      <c r="AC19" s="30"/>
      <c r="AD19" s="31">
        <f t="shared" ref="AD19:AD28" si="13">(AC19*$C19)</f>
        <v>0</v>
      </c>
      <c r="AE19" s="30"/>
      <c r="AF19" s="31">
        <f t="shared" ref="AF19:AF28" si="14">(AE19*$C19)</f>
        <v>0</v>
      </c>
      <c r="AG19" s="30"/>
      <c r="AH19" s="31">
        <f t="shared" ref="AH19:AH28" si="15">(AG19*$C19)</f>
        <v>0</v>
      </c>
      <c r="AI19" s="321">
        <f>E19+G19+I19+K19+M19+O19+Q19+S19+U19+W19+Y19+AA19+AC19+AE19+AG19</f>
        <v>1</v>
      </c>
    </row>
    <row r="20" spans="1:35" s="32" customFormat="1" ht="13.5">
      <c r="A20" s="26">
        <v>2</v>
      </c>
      <c r="B20" s="27" t="str">
        <f>Planilha_Orçamentária!D23</f>
        <v>BLOCO 01 - SERVIÇOS INTERNOS</v>
      </c>
      <c r="C20" s="28">
        <f>Planilha_Orçamentária!I432</f>
        <v>0</v>
      </c>
      <c r="D20" s="29" t="e">
        <f t="shared" si="0"/>
        <v>#DIV/0!</v>
      </c>
      <c r="E20" s="30">
        <v>0.1</v>
      </c>
      <c r="F20" s="31">
        <f t="shared" si="1"/>
        <v>0</v>
      </c>
      <c r="G20" s="30"/>
      <c r="H20" s="31">
        <f t="shared" si="2"/>
        <v>0</v>
      </c>
      <c r="I20" s="30"/>
      <c r="J20" s="31">
        <f t="shared" si="3"/>
        <v>0</v>
      </c>
      <c r="K20" s="30"/>
      <c r="L20" s="31">
        <f t="shared" si="4"/>
        <v>0</v>
      </c>
      <c r="M20" s="30"/>
      <c r="N20" s="31">
        <f t="shared" si="5"/>
        <v>0</v>
      </c>
      <c r="O20" s="30"/>
      <c r="P20" s="31">
        <f t="shared" si="6"/>
        <v>0</v>
      </c>
      <c r="Q20" s="30"/>
      <c r="R20" s="31">
        <f t="shared" si="7"/>
        <v>0</v>
      </c>
      <c r="S20" s="30">
        <v>0.1</v>
      </c>
      <c r="T20" s="31">
        <f t="shared" si="8"/>
        <v>0</v>
      </c>
      <c r="U20" s="30">
        <v>0.25</v>
      </c>
      <c r="V20" s="31">
        <f t="shared" si="9"/>
        <v>0</v>
      </c>
      <c r="W20" s="30">
        <v>0.2</v>
      </c>
      <c r="X20" s="31">
        <f t="shared" si="10"/>
        <v>0</v>
      </c>
      <c r="Y20" s="30">
        <v>0.2</v>
      </c>
      <c r="Z20" s="31">
        <f t="shared" si="11"/>
        <v>0</v>
      </c>
      <c r="AA20" s="30">
        <v>0.1</v>
      </c>
      <c r="AB20" s="31">
        <f t="shared" si="12"/>
        <v>0</v>
      </c>
      <c r="AC20" s="30">
        <v>0.05</v>
      </c>
      <c r="AD20" s="31">
        <f t="shared" si="13"/>
        <v>0</v>
      </c>
      <c r="AE20" s="30"/>
      <c r="AF20" s="31">
        <f t="shared" si="14"/>
        <v>0</v>
      </c>
      <c r="AG20" s="30"/>
      <c r="AH20" s="31">
        <f t="shared" si="15"/>
        <v>0</v>
      </c>
      <c r="AI20" s="321">
        <f t="shared" ref="AI20:AI28" si="16">E20+G20+I20+K20+M20+O20+Q20+S20+U20+W20+Y20+AA20+AC20+AE20+AG20</f>
        <v>1</v>
      </c>
    </row>
    <row r="21" spans="1:35" s="32" customFormat="1" ht="13.5">
      <c r="A21" s="26">
        <v>3</v>
      </c>
      <c r="B21" s="27" t="str">
        <f>Planilha_Orçamentária!D433</f>
        <v>BLOCO 01 - SERVIÇOS EXTERNOS</v>
      </c>
      <c r="C21" s="28">
        <f>Planilha_Orçamentária!I587</f>
        <v>0</v>
      </c>
      <c r="D21" s="29" t="e">
        <f t="shared" si="0"/>
        <v>#DIV/0!</v>
      </c>
      <c r="E21" s="30">
        <v>0.15</v>
      </c>
      <c r="F21" s="31">
        <f t="shared" si="1"/>
        <v>0</v>
      </c>
      <c r="G21" s="30">
        <v>0.15</v>
      </c>
      <c r="H21" s="31">
        <f t="shared" si="2"/>
        <v>0</v>
      </c>
      <c r="I21" s="30">
        <v>0.2</v>
      </c>
      <c r="J21" s="31">
        <f t="shared" si="3"/>
        <v>0</v>
      </c>
      <c r="K21" s="30">
        <v>0.15</v>
      </c>
      <c r="L21" s="31">
        <f t="shared" si="4"/>
        <v>0</v>
      </c>
      <c r="M21" s="30">
        <v>0.05</v>
      </c>
      <c r="N21" s="31">
        <f t="shared" si="5"/>
        <v>0</v>
      </c>
      <c r="O21" s="30">
        <v>0.05</v>
      </c>
      <c r="P21" s="31">
        <f t="shared" si="6"/>
        <v>0</v>
      </c>
      <c r="Q21" s="30">
        <v>0.05</v>
      </c>
      <c r="R21" s="31">
        <f t="shared" si="7"/>
        <v>0</v>
      </c>
      <c r="S21" s="30"/>
      <c r="T21" s="31">
        <f t="shared" si="8"/>
        <v>0</v>
      </c>
      <c r="U21" s="30"/>
      <c r="V21" s="31">
        <f t="shared" si="9"/>
        <v>0</v>
      </c>
      <c r="W21" s="30"/>
      <c r="X21" s="31">
        <f t="shared" si="10"/>
        <v>0</v>
      </c>
      <c r="Y21" s="30"/>
      <c r="Z21" s="31">
        <f t="shared" si="11"/>
        <v>0</v>
      </c>
      <c r="AA21" s="30"/>
      <c r="AB21" s="31">
        <f t="shared" si="12"/>
        <v>0</v>
      </c>
      <c r="AC21" s="30">
        <v>0.1</v>
      </c>
      <c r="AD21" s="31">
        <f t="shared" si="13"/>
        <v>0</v>
      </c>
      <c r="AE21" s="30">
        <v>0.05</v>
      </c>
      <c r="AF21" s="31">
        <f t="shared" si="14"/>
        <v>0</v>
      </c>
      <c r="AG21" s="30">
        <v>0.05</v>
      </c>
      <c r="AH21" s="31">
        <f t="shared" si="15"/>
        <v>0</v>
      </c>
      <c r="AI21" s="321">
        <f t="shared" si="16"/>
        <v>1.0000000000000002</v>
      </c>
    </row>
    <row r="22" spans="1:35" s="32" customFormat="1" ht="13.5">
      <c r="A22" s="26">
        <v>4</v>
      </c>
      <c r="B22" s="33" t="str">
        <f>Planilha_Orçamentária!D588</f>
        <v>BLOCO 02 - SERVIÇOS INTERNOS</v>
      </c>
      <c r="C22" s="28">
        <f>Planilha_Orçamentária!I944</f>
        <v>0</v>
      </c>
      <c r="D22" s="29" t="e">
        <f t="shared" si="0"/>
        <v>#DIV/0!</v>
      </c>
      <c r="E22" s="30">
        <v>0.1</v>
      </c>
      <c r="F22" s="31">
        <f t="shared" si="1"/>
        <v>0</v>
      </c>
      <c r="G22" s="30"/>
      <c r="H22" s="31">
        <f t="shared" si="2"/>
        <v>0</v>
      </c>
      <c r="I22" s="30"/>
      <c r="J22" s="31">
        <f t="shared" si="3"/>
        <v>0</v>
      </c>
      <c r="K22" s="30"/>
      <c r="L22" s="31">
        <f t="shared" si="4"/>
        <v>0</v>
      </c>
      <c r="M22" s="30"/>
      <c r="N22" s="31">
        <f t="shared" si="5"/>
        <v>0</v>
      </c>
      <c r="O22" s="30"/>
      <c r="P22" s="31">
        <f t="shared" si="6"/>
        <v>0</v>
      </c>
      <c r="Q22" s="30"/>
      <c r="R22" s="31">
        <f t="shared" si="7"/>
        <v>0</v>
      </c>
      <c r="S22" s="30"/>
      <c r="T22" s="31">
        <f t="shared" si="8"/>
        <v>0</v>
      </c>
      <c r="U22" s="30"/>
      <c r="V22" s="31">
        <f t="shared" si="9"/>
        <v>0</v>
      </c>
      <c r="W22" s="30">
        <v>0.15</v>
      </c>
      <c r="X22" s="31">
        <f t="shared" si="10"/>
        <v>0</v>
      </c>
      <c r="Y22" s="30">
        <v>0.2</v>
      </c>
      <c r="Z22" s="31">
        <f t="shared" si="11"/>
        <v>0</v>
      </c>
      <c r="AA22" s="30">
        <v>0.2</v>
      </c>
      <c r="AB22" s="31">
        <f t="shared" si="12"/>
        <v>0</v>
      </c>
      <c r="AC22" s="30">
        <v>0.15</v>
      </c>
      <c r="AD22" s="31">
        <f t="shared" si="13"/>
        <v>0</v>
      </c>
      <c r="AE22" s="30">
        <v>0.1</v>
      </c>
      <c r="AF22" s="31">
        <f t="shared" si="14"/>
        <v>0</v>
      </c>
      <c r="AG22" s="30">
        <v>0.1</v>
      </c>
      <c r="AH22" s="31">
        <f t="shared" si="15"/>
        <v>0</v>
      </c>
      <c r="AI22" s="321">
        <f t="shared" si="16"/>
        <v>1</v>
      </c>
    </row>
    <row r="23" spans="1:35" s="32" customFormat="1" ht="13.5">
      <c r="A23" s="26">
        <v>5</v>
      </c>
      <c r="B23" s="27" t="str">
        <f>Planilha_Orçamentária!D945</f>
        <v>BLOCO 02 - SERVIÇOS EXTERNOS</v>
      </c>
      <c r="C23" s="28">
        <f>Planilha_Orçamentária!I1052</f>
        <v>0</v>
      </c>
      <c r="D23" s="29" t="e">
        <f t="shared" si="0"/>
        <v>#DIV/0!</v>
      </c>
      <c r="E23" s="30">
        <v>0.15</v>
      </c>
      <c r="F23" s="31">
        <f t="shared" si="1"/>
        <v>0</v>
      </c>
      <c r="G23" s="30">
        <v>0.2</v>
      </c>
      <c r="H23" s="31">
        <f t="shared" si="2"/>
        <v>0</v>
      </c>
      <c r="I23" s="30">
        <v>0.1</v>
      </c>
      <c r="J23" s="31">
        <f t="shared" si="3"/>
        <v>0</v>
      </c>
      <c r="K23" s="30">
        <v>0.05</v>
      </c>
      <c r="L23" s="31">
        <f t="shared" si="4"/>
        <v>0</v>
      </c>
      <c r="M23" s="30">
        <v>0.05</v>
      </c>
      <c r="N23" s="31">
        <f t="shared" si="5"/>
        <v>0</v>
      </c>
      <c r="O23" s="30">
        <v>0.05</v>
      </c>
      <c r="P23" s="31">
        <f t="shared" si="6"/>
        <v>0</v>
      </c>
      <c r="Q23" s="30">
        <v>0.05</v>
      </c>
      <c r="R23" s="31">
        <f t="shared" si="7"/>
        <v>0</v>
      </c>
      <c r="S23" s="30">
        <v>0.1</v>
      </c>
      <c r="T23" s="31">
        <f t="shared" si="8"/>
        <v>0</v>
      </c>
      <c r="U23" s="30">
        <v>0.13</v>
      </c>
      <c r="V23" s="31">
        <f t="shared" si="9"/>
        <v>0</v>
      </c>
      <c r="W23" s="30"/>
      <c r="X23" s="31">
        <f t="shared" si="10"/>
        <v>0</v>
      </c>
      <c r="Y23" s="30"/>
      <c r="Z23" s="31">
        <f t="shared" si="11"/>
        <v>0</v>
      </c>
      <c r="AA23" s="30"/>
      <c r="AB23" s="31">
        <f t="shared" si="12"/>
        <v>0</v>
      </c>
      <c r="AC23" s="30"/>
      <c r="AD23" s="31">
        <f t="shared" si="13"/>
        <v>0</v>
      </c>
      <c r="AE23" s="30">
        <v>0.06</v>
      </c>
      <c r="AF23" s="31">
        <f t="shared" si="14"/>
        <v>0</v>
      </c>
      <c r="AG23" s="30">
        <v>0.06</v>
      </c>
      <c r="AH23" s="31">
        <f t="shared" si="15"/>
        <v>0</v>
      </c>
      <c r="AI23" s="321">
        <f t="shared" si="16"/>
        <v>1</v>
      </c>
    </row>
    <row r="24" spans="1:35" s="32" customFormat="1" ht="13.5">
      <c r="A24" s="26">
        <v>6</v>
      </c>
      <c r="B24" s="27" t="str">
        <f>Planilha_Orçamentária!D1053</f>
        <v>BLOCO 03 - QUADRA POLIESPORTIVA</v>
      </c>
      <c r="C24" s="28">
        <f>Planilha_Orçamentária!I1112</f>
        <v>0</v>
      </c>
      <c r="D24" s="29" t="e">
        <f t="shared" si="0"/>
        <v>#DIV/0!</v>
      </c>
      <c r="E24" s="30"/>
      <c r="F24" s="31">
        <f t="shared" si="1"/>
        <v>0</v>
      </c>
      <c r="G24" s="30"/>
      <c r="H24" s="31">
        <f t="shared" si="2"/>
        <v>0</v>
      </c>
      <c r="I24" s="30"/>
      <c r="J24" s="31">
        <f t="shared" si="3"/>
        <v>0</v>
      </c>
      <c r="K24" s="30"/>
      <c r="L24" s="31">
        <f t="shared" si="4"/>
        <v>0</v>
      </c>
      <c r="M24" s="30"/>
      <c r="N24" s="31">
        <f t="shared" si="5"/>
        <v>0</v>
      </c>
      <c r="O24" s="30"/>
      <c r="P24" s="31">
        <f t="shared" si="6"/>
        <v>0</v>
      </c>
      <c r="Q24" s="30"/>
      <c r="R24" s="31">
        <f t="shared" si="7"/>
        <v>0</v>
      </c>
      <c r="S24" s="30"/>
      <c r="T24" s="31">
        <f t="shared" si="8"/>
        <v>0</v>
      </c>
      <c r="U24" s="30">
        <v>0.05</v>
      </c>
      <c r="V24" s="31">
        <f t="shared" si="9"/>
        <v>0</v>
      </c>
      <c r="W24" s="30">
        <v>0.15</v>
      </c>
      <c r="X24" s="31">
        <f t="shared" si="10"/>
        <v>0</v>
      </c>
      <c r="Y24" s="30">
        <v>0.15</v>
      </c>
      <c r="Z24" s="31">
        <f t="shared" si="11"/>
        <v>0</v>
      </c>
      <c r="AA24" s="30">
        <v>0.2</v>
      </c>
      <c r="AB24" s="31">
        <f t="shared" si="12"/>
        <v>0</v>
      </c>
      <c r="AC24" s="30">
        <v>0.15</v>
      </c>
      <c r="AD24" s="31">
        <f t="shared" si="13"/>
        <v>0</v>
      </c>
      <c r="AE24" s="30">
        <v>0.2</v>
      </c>
      <c r="AF24" s="31">
        <f t="shared" si="14"/>
        <v>0</v>
      </c>
      <c r="AG24" s="30">
        <v>0.1</v>
      </c>
      <c r="AH24" s="31">
        <f t="shared" si="15"/>
        <v>0</v>
      </c>
      <c r="AI24" s="321">
        <f t="shared" si="16"/>
        <v>1.0000000000000002</v>
      </c>
    </row>
    <row r="25" spans="1:35" s="32" customFormat="1" ht="13.5">
      <c r="A25" s="26">
        <v>7</v>
      </c>
      <c r="B25" s="27" t="str">
        <f>Planilha_Orçamentária!D1113</f>
        <v>COBERTURA</v>
      </c>
      <c r="C25" s="28">
        <f>Planilha_Orçamentária!I1139</f>
        <v>0</v>
      </c>
      <c r="D25" s="29" t="e">
        <f t="shared" si="0"/>
        <v>#DIV/0!</v>
      </c>
      <c r="E25" s="30"/>
      <c r="F25" s="31">
        <f t="shared" si="1"/>
        <v>0</v>
      </c>
      <c r="G25" s="30">
        <v>0.08</v>
      </c>
      <c r="H25" s="31">
        <f t="shared" si="2"/>
        <v>0</v>
      </c>
      <c r="I25" s="30">
        <v>0.12</v>
      </c>
      <c r="J25" s="31">
        <f t="shared" si="3"/>
        <v>0</v>
      </c>
      <c r="K25" s="30">
        <v>0.15</v>
      </c>
      <c r="L25" s="31">
        <f t="shared" si="4"/>
        <v>0</v>
      </c>
      <c r="M25" s="30">
        <v>0.17</v>
      </c>
      <c r="N25" s="31">
        <f t="shared" si="5"/>
        <v>0</v>
      </c>
      <c r="O25" s="30">
        <v>0.18</v>
      </c>
      <c r="P25" s="31">
        <f t="shared" si="6"/>
        <v>0</v>
      </c>
      <c r="Q25" s="30">
        <v>0.15</v>
      </c>
      <c r="R25" s="31">
        <f t="shared" si="7"/>
        <v>0</v>
      </c>
      <c r="S25" s="30">
        <v>0.15</v>
      </c>
      <c r="T25" s="31">
        <f t="shared" si="8"/>
        <v>0</v>
      </c>
      <c r="U25" s="30"/>
      <c r="V25" s="31">
        <f t="shared" si="9"/>
        <v>0</v>
      </c>
      <c r="W25" s="30"/>
      <c r="X25" s="31">
        <f t="shared" si="10"/>
        <v>0</v>
      </c>
      <c r="Y25" s="30"/>
      <c r="Z25" s="31">
        <f t="shared" si="11"/>
        <v>0</v>
      </c>
      <c r="AA25" s="30"/>
      <c r="AB25" s="31">
        <f t="shared" si="12"/>
        <v>0</v>
      </c>
      <c r="AC25" s="30"/>
      <c r="AD25" s="31">
        <f t="shared" si="13"/>
        <v>0</v>
      </c>
      <c r="AE25" s="30"/>
      <c r="AF25" s="31">
        <f t="shared" si="14"/>
        <v>0</v>
      </c>
      <c r="AG25" s="30"/>
      <c r="AH25" s="31">
        <f t="shared" si="15"/>
        <v>0</v>
      </c>
      <c r="AI25" s="321">
        <f t="shared" si="16"/>
        <v>1</v>
      </c>
    </row>
    <row r="26" spans="1:35" s="32" customFormat="1" ht="13.5">
      <c r="A26" s="26">
        <v>8</v>
      </c>
      <c r="B26" s="27" t="str">
        <f>Planilha_Orçamentária!D1140</f>
        <v>INSTALAÇÃO ELÉTRICAS</v>
      </c>
      <c r="C26" s="28">
        <f>Planilha_Orçamentária!I1236</f>
        <v>0</v>
      </c>
      <c r="D26" s="29" t="e">
        <f t="shared" si="0"/>
        <v>#DIV/0!</v>
      </c>
      <c r="E26" s="30"/>
      <c r="F26" s="31">
        <f t="shared" si="1"/>
        <v>0</v>
      </c>
      <c r="G26" s="30"/>
      <c r="H26" s="31">
        <f t="shared" si="2"/>
        <v>0</v>
      </c>
      <c r="I26" s="30"/>
      <c r="J26" s="31">
        <f t="shared" si="3"/>
        <v>0</v>
      </c>
      <c r="K26" s="30"/>
      <c r="L26" s="31">
        <f t="shared" si="4"/>
        <v>0</v>
      </c>
      <c r="M26" s="30">
        <v>0.1</v>
      </c>
      <c r="N26" s="31">
        <f t="shared" si="5"/>
        <v>0</v>
      </c>
      <c r="O26" s="30">
        <v>0.1</v>
      </c>
      <c r="P26" s="31">
        <f t="shared" si="6"/>
        <v>0</v>
      </c>
      <c r="Q26" s="30">
        <v>0.15</v>
      </c>
      <c r="R26" s="31">
        <f t="shared" si="7"/>
        <v>0</v>
      </c>
      <c r="S26" s="30">
        <v>0.1</v>
      </c>
      <c r="T26" s="31">
        <f t="shared" si="8"/>
        <v>0</v>
      </c>
      <c r="U26" s="30">
        <v>0.15</v>
      </c>
      <c r="V26" s="31">
        <f t="shared" si="9"/>
        <v>0</v>
      </c>
      <c r="W26" s="30">
        <v>0.1</v>
      </c>
      <c r="X26" s="31">
        <f t="shared" si="10"/>
        <v>0</v>
      </c>
      <c r="Y26" s="30">
        <v>0.1</v>
      </c>
      <c r="Z26" s="31">
        <f t="shared" si="11"/>
        <v>0</v>
      </c>
      <c r="AA26" s="30">
        <v>0.1</v>
      </c>
      <c r="AB26" s="31">
        <f t="shared" si="12"/>
        <v>0</v>
      </c>
      <c r="AC26" s="30">
        <v>0.1</v>
      </c>
      <c r="AD26" s="31">
        <f t="shared" si="13"/>
        <v>0</v>
      </c>
      <c r="AE26" s="30"/>
      <c r="AF26" s="31">
        <f t="shared" si="14"/>
        <v>0</v>
      </c>
      <c r="AG26" s="30"/>
      <c r="AH26" s="31">
        <f t="shared" si="15"/>
        <v>0</v>
      </c>
      <c r="AI26" s="321">
        <f t="shared" si="16"/>
        <v>0.99999999999999989</v>
      </c>
    </row>
    <row r="27" spans="1:35" s="32" customFormat="1" ht="13.5">
      <c r="A27" s="26">
        <v>9</v>
      </c>
      <c r="B27" s="27" t="str">
        <f>Planilha_Orçamentária!D1237</f>
        <v>INSTALAÇÃO DE PREVENÇÃO CONTRA INCÊNDIOS</v>
      </c>
      <c r="C27" s="28">
        <f>Planilha_Orçamentária!I1401</f>
        <v>0</v>
      </c>
      <c r="D27" s="29" t="e">
        <f t="shared" si="0"/>
        <v>#DIV/0!</v>
      </c>
      <c r="E27" s="30"/>
      <c r="F27" s="31">
        <f t="shared" si="1"/>
        <v>0</v>
      </c>
      <c r="G27" s="30"/>
      <c r="H27" s="31">
        <f t="shared" si="2"/>
        <v>0</v>
      </c>
      <c r="I27" s="30"/>
      <c r="J27" s="31">
        <f t="shared" si="3"/>
        <v>0</v>
      </c>
      <c r="K27" s="30"/>
      <c r="L27" s="31">
        <f t="shared" si="4"/>
        <v>0</v>
      </c>
      <c r="M27" s="30"/>
      <c r="N27" s="31">
        <f t="shared" si="5"/>
        <v>0</v>
      </c>
      <c r="O27" s="30"/>
      <c r="P27" s="31">
        <f t="shared" si="6"/>
        <v>0</v>
      </c>
      <c r="Q27" s="30"/>
      <c r="R27" s="31">
        <f t="shared" si="7"/>
        <v>0</v>
      </c>
      <c r="S27" s="30"/>
      <c r="T27" s="31">
        <f t="shared" si="8"/>
        <v>0</v>
      </c>
      <c r="U27" s="30">
        <v>0.15</v>
      </c>
      <c r="V27" s="31">
        <f t="shared" si="9"/>
        <v>0</v>
      </c>
      <c r="W27" s="30">
        <v>0.15</v>
      </c>
      <c r="X27" s="31">
        <f t="shared" si="10"/>
        <v>0</v>
      </c>
      <c r="Y27" s="30">
        <v>0.15</v>
      </c>
      <c r="Z27" s="31">
        <f t="shared" si="11"/>
        <v>0</v>
      </c>
      <c r="AA27" s="30">
        <v>0.2</v>
      </c>
      <c r="AB27" s="31">
        <f t="shared" si="12"/>
        <v>0</v>
      </c>
      <c r="AC27" s="30">
        <v>0.2</v>
      </c>
      <c r="AD27" s="31">
        <f t="shared" si="13"/>
        <v>0</v>
      </c>
      <c r="AE27" s="30">
        <v>0.1</v>
      </c>
      <c r="AF27" s="31">
        <f t="shared" si="14"/>
        <v>0</v>
      </c>
      <c r="AG27" s="30">
        <v>0.05</v>
      </c>
      <c r="AH27" s="31">
        <f t="shared" si="15"/>
        <v>0</v>
      </c>
      <c r="AI27" s="321">
        <f t="shared" si="16"/>
        <v>0.99999999999999989</v>
      </c>
    </row>
    <row r="28" spans="1:35" s="32" customFormat="1" ht="13.5">
      <c r="A28" s="26">
        <v>10</v>
      </c>
      <c r="B28" s="27" t="str">
        <f>Planilha_Orçamentária!D1402</f>
        <v>SERVIÇOS COMPLEMENTARES</v>
      </c>
      <c r="C28" s="28">
        <f>Planilha_Orçamentária!I1419</f>
        <v>0</v>
      </c>
      <c r="D28" s="29" t="e">
        <f t="shared" si="0"/>
        <v>#DIV/0!</v>
      </c>
      <c r="E28" s="30"/>
      <c r="F28" s="31">
        <f t="shared" si="1"/>
        <v>0</v>
      </c>
      <c r="G28" s="30"/>
      <c r="H28" s="31">
        <f t="shared" si="2"/>
        <v>0</v>
      </c>
      <c r="I28" s="30"/>
      <c r="J28" s="31">
        <f t="shared" si="3"/>
        <v>0</v>
      </c>
      <c r="K28" s="30"/>
      <c r="L28" s="31">
        <f t="shared" si="4"/>
        <v>0</v>
      </c>
      <c r="M28" s="30"/>
      <c r="N28" s="31">
        <f t="shared" si="5"/>
        <v>0</v>
      </c>
      <c r="O28" s="30"/>
      <c r="P28" s="31">
        <f t="shared" si="6"/>
        <v>0</v>
      </c>
      <c r="Q28" s="30"/>
      <c r="R28" s="31">
        <f t="shared" si="7"/>
        <v>0</v>
      </c>
      <c r="S28" s="30"/>
      <c r="T28" s="31">
        <f t="shared" si="8"/>
        <v>0</v>
      </c>
      <c r="U28" s="30"/>
      <c r="V28" s="31">
        <f t="shared" si="9"/>
        <v>0</v>
      </c>
      <c r="W28" s="30"/>
      <c r="X28" s="31">
        <f t="shared" si="10"/>
        <v>0</v>
      </c>
      <c r="Y28" s="30"/>
      <c r="Z28" s="31">
        <f t="shared" si="11"/>
        <v>0</v>
      </c>
      <c r="AA28" s="30">
        <v>0.05</v>
      </c>
      <c r="AB28" s="31">
        <f t="shared" si="12"/>
        <v>0</v>
      </c>
      <c r="AC28" s="30">
        <v>0.05</v>
      </c>
      <c r="AD28" s="31">
        <f t="shared" si="13"/>
        <v>0</v>
      </c>
      <c r="AE28" s="30">
        <v>0.4</v>
      </c>
      <c r="AF28" s="31">
        <f t="shared" si="14"/>
        <v>0</v>
      </c>
      <c r="AG28" s="30">
        <v>0.5</v>
      </c>
      <c r="AH28" s="31">
        <f t="shared" si="15"/>
        <v>0</v>
      </c>
      <c r="AI28" s="321">
        <f t="shared" si="16"/>
        <v>1</v>
      </c>
    </row>
    <row r="29" spans="1:35" s="32" customFormat="1" ht="13.5">
      <c r="A29" s="428" t="s">
        <v>113</v>
      </c>
      <c r="B29" s="428"/>
      <c r="C29" s="309">
        <f>SUM(C19:C28)</f>
        <v>0</v>
      </c>
      <c r="D29" s="310" t="e">
        <f>SUM(D19:D28)</f>
        <v>#DIV/0!</v>
      </c>
      <c r="E29" s="310" t="e">
        <f>F29/$C29</f>
        <v>#DIV/0!</v>
      </c>
      <c r="F29" s="312">
        <f>SUM(F19:F28)</f>
        <v>0</v>
      </c>
      <c r="G29" s="310" t="e">
        <f>H29/$C29</f>
        <v>#DIV/0!</v>
      </c>
      <c r="H29" s="312">
        <f>SUM(H19:H28)</f>
        <v>0</v>
      </c>
      <c r="I29" s="310" t="e">
        <f>J29/$C29</f>
        <v>#DIV/0!</v>
      </c>
      <c r="J29" s="312">
        <f>SUM(J19:J28)</f>
        <v>0</v>
      </c>
      <c r="K29" s="310" t="e">
        <f>L29/$C29</f>
        <v>#DIV/0!</v>
      </c>
      <c r="L29" s="312">
        <f>SUM(L19:L28)</f>
        <v>0</v>
      </c>
      <c r="M29" s="310" t="e">
        <f>N29/$C29</f>
        <v>#DIV/0!</v>
      </c>
      <c r="N29" s="312">
        <f>SUM(N19:N28)</f>
        <v>0</v>
      </c>
      <c r="O29" s="310" t="e">
        <f>P29/$C29</f>
        <v>#DIV/0!</v>
      </c>
      <c r="P29" s="312">
        <f>SUM(P19:P28)</f>
        <v>0</v>
      </c>
      <c r="Q29" s="310" t="e">
        <f>R29/$C29</f>
        <v>#DIV/0!</v>
      </c>
      <c r="R29" s="312">
        <f>SUM(R19:R28)</f>
        <v>0</v>
      </c>
      <c r="S29" s="310" t="e">
        <f>T29/$C29</f>
        <v>#DIV/0!</v>
      </c>
      <c r="T29" s="312">
        <f>SUM(T19:T28)</f>
        <v>0</v>
      </c>
      <c r="U29" s="310" t="e">
        <f>V29/$C29</f>
        <v>#DIV/0!</v>
      </c>
      <c r="V29" s="312">
        <f>SUM(V19:V28)</f>
        <v>0</v>
      </c>
      <c r="W29" s="310" t="e">
        <f>X29/$C29</f>
        <v>#DIV/0!</v>
      </c>
      <c r="X29" s="312">
        <f>SUM(X19:X28)</f>
        <v>0</v>
      </c>
      <c r="Y29" s="310" t="e">
        <f>Z29/$C29</f>
        <v>#DIV/0!</v>
      </c>
      <c r="Z29" s="312">
        <f>SUM(Z19:Z28)</f>
        <v>0</v>
      </c>
      <c r="AA29" s="310" t="e">
        <f>AB29/$C29</f>
        <v>#DIV/0!</v>
      </c>
      <c r="AB29" s="312">
        <f>SUM(AB19:AB28)</f>
        <v>0</v>
      </c>
      <c r="AC29" s="310" t="e">
        <f>AD29/$C29</f>
        <v>#DIV/0!</v>
      </c>
      <c r="AD29" s="312">
        <f>SUM(AD19:AD28)</f>
        <v>0</v>
      </c>
      <c r="AE29" s="310" t="e">
        <f>AF29/$C29</f>
        <v>#DIV/0!</v>
      </c>
      <c r="AF29" s="312">
        <f>SUM(AF19:AF28)</f>
        <v>0</v>
      </c>
      <c r="AG29" s="310" t="e">
        <f>AH29/$C29</f>
        <v>#DIV/0!</v>
      </c>
      <c r="AH29" s="312">
        <f>SUM(AH19:AH28)</f>
        <v>0</v>
      </c>
    </row>
    <row r="30" spans="1:35" s="32" customFormat="1" ht="13.5">
      <c r="A30" s="427" t="s">
        <v>114</v>
      </c>
      <c r="B30" s="427"/>
      <c r="C30" s="313"/>
      <c r="D30" s="311"/>
      <c r="E30" s="310" t="e">
        <f>F30/$C29</f>
        <v>#DIV/0!</v>
      </c>
      <c r="F30" s="312">
        <f>F29</f>
        <v>0</v>
      </c>
      <c r="G30" s="310" t="e">
        <f>H30/$C29</f>
        <v>#DIV/0!</v>
      </c>
      <c r="H30" s="312">
        <f>F30+H29</f>
        <v>0</v>
      </c>
      <c r="I30" s="310" t="e">
        <f>J30/$C29</f>
        <v>#DIV/0!</v>
      </c>
      <c r="J30" s="312">
        <f>H30+J29</f>
        <v>0</v>
      </c>
      <c r="K30" s="310" t="e">
        <f>L30/$C29</f>
        <v>#DIV/0!</v>
      </c>
      <c r="L30" s="312">
        <f>J30+L29</f>
        <v>0</v>
      </c>
      <c r="M30" s="310" t="e">
        <f>N30/$C29</f>
        <v>#DIV/0!</v>
      </c>
      <c r="N30" s="312">
        <f>L30+N29</f>
        <v>0</v>
      </c>
      <c r="O30" s="310" t="e">
        <f>P30/$C29</f>
        <v>#DIV/0!</v>
      </c>
      <c r="P30" s="312">
        <f>N30+P29</f>
        <v>0</v>
      </c>
      <c r="Q30" s="310" t="e">
        <f>R30/$C29</f>
        <v>#DIV/0!</v>
      </c>
      <c r="R30" s="312">
        <f>P30+R29</f>
        <v>0</v>
      </c>
      <c r="S30" s="310" t="e">
        <f>T30/$C29</f>
        <v>#DIV/0!</v>
      </c>
      <c r="T30" s="312">
        <f>R30+T29</f>
        <v>0</v>
      </c>
      <c r="U30" s="310" t="e">
        <f>V30/$C29</f>
        <v>#DIV/0!</v>
      </c>
      <c r="V30" s="312">
        <f>T30+V29</f>
        <v>0</v>
      </c>
      <c r="W30" s="310" t="e">
        <f>X30/$C29</f>
        <v>#DIV/0!</v>
      </c>
      <c r="X30" s="312">
        <f>V30+X29</f>
        <v>0</v>
      </c>
      <c r="Y30" s="310" t="e">
        <f>Z30/$C29</f>
        <v>#DIV/0!</v>
      </c>
      <c r="Z30" s="312">
        <f>X30+Z29</f>
        <v>0</v>
      </c>
      <c r="AA30" s="310" t="e">
        <f>AB30/$C29</f>
        <v>#DIV/0!</v>
      </c>
      <c r="AB30" s="312">
        <f>Z30+AB29</f>
        <v>0</v>
      </c>
      <c r="AC30" s="310" t="e">
        <f>AD30/$C29</f>
        <v>#DIV/0!</v>
      </c>
      <c r="AD30" s="312">
        <f>AB30+AD29</f>
        <v>0</v>
      </c>
      <c r="AE30" s="310" t="e">
        <f>AF30/$C29</f>
        <v>#DIV/0!</v>
      </c>
      <c r="AF30" s="312">
        <f>AD30+AF29</f>
        <v>0</v>
      </c>
      <c r="AG30" s="310" t="e">
        <f>AH30/$C29</f>
        <v>#DIV/0!</v>
      </c>
      <c r="AH30" s="312">
        <f>AF30+AH29</f>
        <v>0</v>
      </c>
    </row>
    <row r="31" spans="1:35" s="32" customFormat="1" ht="13.5">
      <c r="C31" s="34"/>
      <c r="D31" s="35"/>
      <c r="E31" s="35"/>
      <c r="G31" s="36"/>
      <c r="I31" s="36"/>
      <c r="K31" s="36"/>
      <c r="M31" s="36"/>
      <c r="O31" s="36"/>
      <c r="AC31" s="36"/>
      <c r="AE31" s="36"/>
      <c r="AG31" s="36"/>
    </row>
    <row r="32" spans="1:35" s="32" customFormat="1" ht="13.5">
      <c r="C32" s="34"/>
      <c r="D32" s="35"/>
      <c r="E32" s="35"/>
      <c r="G32" s="36"/>
      <c r="I32" s="36"/>
      <c r="K32" s="36"/>
      <c r="M32" s="36"/>
      <c r="O32" s="36"/>
      <c r="AC32" s="36"/>
      <c r="AE32" s="36"/>
      <c r="AG32" s="36"/>
    </row>
    <row r="33" spans="1:34" s="32" customFormat="1" ht="13.5">
      <c r="E33" s="36"/>
      <c r="G33" s="36"/>
      <c r="I33" s="36"/>
      <c r="K33" s="36"/>
      <c r="M33" s="36"/>
      <c r="O33" s="36"/>
      <c r="AC33" s="36"/>
      <c r="AE33" s="36"/>
      <c r="AG33" s="36"/>
    </row>
    <row r="34" spans="1:34" s="32" customFormat="1" ht="13.5">
      <c r="A34" s="37"/>
      <c r="B34" s="7"/>
      <c r="E34" s="36"/>
      <c r="G34" s="36"/>
      <c r="I34" s="36"/>
      <c r="K34" s="36"/>
      <c r="M34" s="36"/>
      <c r="O34" s="36"/>
      <c r="AC34" s="36"/>
      <c r="AE34" s="36"/>
      <c r="AG34" s="36"/>
    </row>
    <row r="35" spans="1:34" s="32" customFormat="1" ht="14.25">
      <c r="B35" s="38"/>
      <c r="C35" s="34"/>
      <c r="D35" s="35"/>
      <c r="E35" s="35"/>
      <c r="G35" s="36"/>
      <c r="I35" s="36"/>
      <c r="K35" s="36"/>
      <c r="M35" s="36"/>
      <c r="O35" s="36"/>
      <c r="AC35" s="36"/>
      <c r="AE35" s="36"/>
      <c r="AG35" s="36"/>
    </row>
    <row r="36" spans="1:34" s="32" customFormat="1" ht="14.25">
      <c r="B36" s="9"/>
      <c r="C36" s="34"/>
      <c r="D36" s="35"/>
      <c r="E36" s="35"/>
      <c r="G36" s="36"/>
      <c r="I36" s="36"/>
      <c r="K36" s="36"/>
      <c r="M36" s="36"/>
      <c r="O36" s="36"/>
      <c r="AC36" s="36"/>
      <c r="AE36" s="36"/>
      <c r="AG36" s="36"/>
    </row>
    <row r="37" spans="1:34" s="32" customFormat="1" ht="13.5">
      <c r="B37" s="7"/>
      <c r="C37" s="34"/>
      <c r="D37" s="35"/>
      <c r="E37" s="35"/>
      <c r="G37" s="36"/>
      <c r="I37" s="36"/>
      <c r="K37" s="36"/>
      <c r="M37" s="36"/>
      <c r="O37" s="36"/>
      <c r="AC37" s="36"/>
      <c r="AE37" s="36"/>
      <c r="AG37" s="36"/>
    </row>
    <row r="38" spans="1:34">
      <c r="B38" s="9"/>
    </row>
    <row r="46" spans="1:34">
      <c r="A46" s="432" t="s">
        <v>185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</row>
    <row r="47" spans="1:34">
      <c r="A47" s="423" t="s">
        <v>186</v>
      </c>
      <c r="B47" s="423"/>
      <c r="C47" s="423"/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423"/>
      <c r="AC47" s="423"/>
      <c r="AD47" s="423"/>
      <c r="AE47" s="423"/>
      <c r="AF47" s="423"/>
      <c r="AG47" s="423"/>
      <c r="AH47" s="423"/>
    </row>
    <row r="48" spans="1:34">
      <c r="A48" s="423" t="s">
        <v>1954</v>
      </c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23"/>
      <c r="N48" s="423"/>
      <c r="O48" s="423"/>
      <c r="P48" s="423"/>
      <c r="Q48" s="423"/>
      <c r="R48" s="423"/>
      <c r="S48" s="423"/>
      <c r="T48" s="423"/>
      <c r="U48" s="423"/>
      <c r="V48" s="423"/>
      <c r="W48" s="423"/>
      <c r="X48" s="423"/>
      <c r="Y48" s="423"/>
      <c r="Z48" s="423"/>
      <c r="AA48" s="423"/>
      <c r="AB48" s="423"/>
      <c r="AC48" s="423"/>
      <c r="AD48" s="423"/>
      <c r="AE48" s="423"/>
      <c r="AF48" s="423"/>
      <c r="AG48" s="423"/>
      <c r="AH48" s="423"/>
    </row>
  </sheetData>
  <mergeCells count="41">
    <mergeCell ref="AE11:AF11"/>
    <mergeCell ref="AE12:AF12"/>
    <mergeCell ref="AE13:AF13"/>
    <mergeCell ref="W17:X17"/>
    <mergeCell ref="Y17:Z17"/>
    <mergeCell ref="AA17:AB17"/>
    <mergeCell ref="AG12:AH12"/>
    <mergeCell ref="AG13:AH13"/>
    <mergeCell ref="C13:AB13"/>
    <mergeCell ref="C12:AB12"/>
    <mergeCell ref="M17:N17"/>
    <mergeCell ref="O17:P17"/>
    <mergeCell ref="Q17:R17"/>
    <mergeCell ref="S17:T17"/>
    <mergeCell ref="U17:V17"/>
    <mergeCell ref="C17:D17"/>
    <mergeCell ref="E17:F17"/>
    <mergeCell ref="G17:H17"/>
    <mergeCell ref="I17:J17"/>
    <mergeCell ref="K17:L17"/>
    <mergeCell ref="A3:AH3"/>
    <mergeCell ref="A2:AH2"/>
    <mergeCell ref="A1:AH1"/>
    <mergeCell ref="A8:AH9"/>
    <mergeCell ref="A6:AH6"/>
    <mergeCell ref="A47:AH47"/>
    <mergeCell ref="A48:AH48"/>
    <mergeCell ref="A5:AH5"/>
    <mergeCell ref="A4:AH4"/>
    <mergeCell ref="A13:B13"/>
    <mergeCell ref="AC17:AD17"/>
    <mergeCell ref="A30:B30"/>
    <mergeCell ref="A29:B29"/>
    <mergeCell ref="AE17:AF17"/>
    <mergeCell ref="AG17:AH17"/>
    <mergeCell ref="A11:B11"/>
    <mergeCell ref="A12:B12"/>
    <mergeCell ref="C11:AB11"/>
    <mergeCell ref="AG11:AH11"/>
    <mergeCell ref="A46:AH46"/>
    <mergeCell ref="A16:AH16"/>
  </mergeCells>
  <printOptions horizontalCentered="1"/>
  <pageMargins left="0.25" right="0.25" top="0.75" bottom="0.75" header="0.3" footer="0.3"/>
  <pageSetup paperSize="9" scale="41" pageOrder="overThenDown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Planilha_Orçamentária</vt:lpstr>
      <vt:lpstr>Cronograma_F_F</vt:lpstr>
      <vt:lpstr>Cronograma_F_F!Area_de_impressao</vt:lpstr>
      <vt:lpstr>Planilha_Orçamentária!Area_de_impressao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Mirella Fillus</dc:creator>
  <cp:lastModifiedBy>PM_Itararé</cp:lastModifiedBy>
  <cp:revision>518</cp:revision>
  <cp:lastPrinted>2023-03-16T12:10:10Z</cp:lastPrinted>
  <dcterms:created xsi:type="dcterms:W3CDTF">2005-07-23T14:00:58Z</dcterms:created>
  <dcterms:modified xsi:type="dcterms:W3CDTF">2023-03-16T19:49:54Z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Engenheiro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